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EDEMADERAS\FORMADORES\Modulo 1 administrativa\"/>
    </mc:Choice>
  </mc:AlternateContent>
  <xr:revisionPtr revIDLastSave="0" documentId="13_ncr:1_{478C9830-F333-4F86-8381-E1874025F360}" xr6:coauthVersionLast="45" xr6:coauthVersionMax="45" xr10:uidLastSave="{00000000-0000-0000-0000-000000000000}"/>
  <bookViews>
    <workbookView xWindow="-108" yWindow="-108" windowWidth="23256" windowHeight="12576" activeTab="2" xr2:uid="{00000000-000D-0000-FFFF-FFFF00000000}"/>
  </bookViews>
  <sheets>
    <sheet name="Balance General  Ejemplo" sheetId="1" r:id="rId1"/>
    <sheet name="Estado de Resultados" sheetId="2" r:id="rId2"/>
    <sheet name="Indicadores" sheetId="3" r:id="rId3"/>
    <sheet name="Promedio Muebles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3" l="1"/>
  <c r="K26" i="3" s="1"/>
  <c r="K27" i="3" s="1"/>
  <c r="Z68" i="2"/>
  <c r="O23" i="3"/>
  <c r="O22" i="3"/>
  <c r="O21" i="3"/>
  <c r="O20" i="3"/>
  <c r="O19" i="3"/>
  <c r="O15" i="3"/>
  <c r="O14" i="3"/>
  <c r="O13" i="3"/>
  <c r="O12" i="3"/>
  <c r="O8" i="3"/>
  <c r="O7" i="3"/>
  <c r="O6" i="3"/>
  <c r="I26" i="3"/>
  <c r="D68" i="2"/>
  <c r="F68" i="2"/>
  <c r="H68" i="2"/>
  <c r="J68" i="2"/>
  <c r="L68" i="2"/>
  <c r="N68" i="2"/>
  <c r="P68" i="2"/>
  <c r="R68" i="2"/>
  <c r="T68" i="2"/>
  <c r="V68" i="2"/>
  <c r="X68" i="2"/>
  <c r="B68" i="2"/>
  <c r="N21" i="3"/>
  <c r="N22" i="3"/>
  <c r="N15" i="3"/>
  <c r="N14" i="3"/>
  <c r="H13" i="3"/>
  <c r="N13" i="3"/>
  <c r="N12" i="3"/>
  <c r="N8" i="3"/>
  <c r="N7" i="3"/>
  <c r="N6" i="3"/>
  <c r="F14" i="4"/>
  <c r="F13" i="4"/>
  <c r="F12" i="4"/>
  <c r="F11" i="4"/>
  <c r="F10" i="4"/>
  <c r="F9" i="4"/>
  <c r="F8" i="4"/>
  <c r="D9" i="4"/>
  <c r="N19" i="3" s="1"/>
  <c r="D10" i="4"/>
  <c r="N20" i="3" s="1"/>
  <c r="D11" i="4"/>
  <c r="D12" i="4"/>
  <c r="D13" i="4"/>
  <c r="D14" i="4"/>
  <c r="N23" i="3" s="1"/>
  <c r="D8" i="4"/>
  <c r="I23" i="3" l="1"/>
  <c r="H23" i="3"/>
  <c r="I22" i="3"/>
  <c r="H22" i="3"/>
  <c r="K22" i="3" s="1"/>
  <c r="I21" i="3"/>
  <c r="H21" i="3"/>
  <c r="K21" i="3" s="1"/>
  <c r="I20" i="3"/>
  <c r="H20" i="3"/>
  <c r="K20" i="3" s="1"/>
  <c r="I19" i="3"/>
  <c r="H19" i="3"/>
  <c r="K19" i="3" s="1"/>
  <c r="I15" i="3"/>
  <c r="H15" i="3"/>
  <c r="K15" i="3" s="1"/>
  <c r="I14" i="3"/>
  <c r="H14" i="3"/>
  <c r="I26" i="1"/>
  <c r="I36" i="1"/>
  <c r="I13" i="3"/>
  <c r="K13" i="3" s="1"/>
  <c r="I12" i="3"/>
  <c r="H12" i="3"/>
  <c r="J8" i="3"/>
  <c r="I8" i="3"/>
  <c r="H8" i="3"/>
  <c r="K8" i="3" s="1"/>
  <c r="I7" i="3"/>
  <c r="H7" i="3"/>
  <c r="I6" i="3"/>
  <c r="H6" i="3"/>
  <c r="K14" i="3" l="1"/>
  <c r="K6" i="3"/>
  <c r="K12" i="3"/>
  <c r="K7" i="3"/>
  <c r="K23" i="3"/>
  <c r="Z57" i="2"/>
  <c r="Z59" i="2" s="1"/>
  <c r="X18" i="2"/>
  <c r="V18" i="2"/>
  <c r="T18" i="2"/>
  <c r="R18" i="2"/>
  <c r="P18" i="2"/>
  <c r="N18" i="2"/>
  <c r="L18" i="2"/>
  <c r="J18" i="2"/>
  <c r="H18" i="2"/>
  <c r="F18" i="2"/>
  <c r="D18" i="2"/>
  <c r="B18" i="2"/>
  <c r="F17" i="2"/>
  <c r="H17" i="2"/>
  <c r="J17" i="2"/>
  <c r="L17" i="2"/>
  <c r="N17" i="2"/>
  <c r="P17" i="2"/>
  <c r="R17" i="2"/>
  <c r="T17" i="2"/>
  <c r="T38" i="2" s="1"/>
  <c r="V17" i="2"/>
  <c r="X17" i="2"/>
  <c r="D17" i="2"/>
  <c r="B17" i="2"/>
  <c r="D37" i="2"/>
  <c r="F37" i="2"/>
  <c r="H37" i="2"/>
  <c r="J37" i="2"/>
  <c r="L37" i="2"/>
  <c r="N37" i="2"/>
  <c r="P37" i="2"/>
  <c r="R37" i="2"/>
  <c r="T37" i="2"/>
  <c r="V37" i="2"/>
  <c r="X37" i="2"/>
  <c r="B37" i="2"/>
  <c r="D59" i="2"/>
  <c r="F59" i="2"/>
  <c r="H59" i="2"/>
  <c r="J59" i="2"/>
  <c r="L59" i="2"/>
  <c r="N59" i="2"/>
  <c r="P59" i="2"/>
  <c r="R59" i="2"/>
  <c r="T59" i="2"/>
  <c r="V59" i="2"/>
  <c r="X59" i="2"/>
  <c r="D38" i="2"/>
  <c r="F38" i="2"/>
  <c r="H38" i="2"/>
  <c r="J38" i="2"/>
  <c r="L38" i="2"/>
  <c r="N38" i="2"/>
  <c r="P38" i="2"/>
  <c r="R38" i="2"/>
  <c r="V38" i="2"/>
  <c r="X38" i="2"/>
  <c r="B38" i="2"/>
  <c r="Z36" i="2"/>
  <c r="Z26" i="2"/>
  <c r="B59" i="2"/>
  <c r="Z49" i="2"/>
  <c r="Z48" i="2"/>
  <c r="Z47" i="2"/>
  <c r="Z46" i="2"/>
  <c r="Z45" i="2"/>
  <c r="Z44" i="2"/>
  <c r="Z43" i="2"/>
  <c r="Z42" i="2"/>
  <c r="Z41" i="2"/>
  <c r="Z40" i="2"/>
  <c r="Z39" i="2"/>
  <c r="Z32" i="2"/>
  <c r="Z31" i="2"/>
  <c r="Z30" i="2"/>
  <c r="Z29" i="2"/>
  <c r="X14" i="2"/>
  <c r="X16" i="2" s="1"/>
  <c r="X19" i="2" s="1"/>
  <c r="Y19" i="2" s="1"/>
  <c r="V14" i="2"/>
  <c r="V16" i="2" s="1"/>
  <c r="V19" i="2" s="1"/>
  <c r="W19" i="2" s="1"/>
  <c r="T14" i="2"/>
  <c r="R14" i="2"/>
  <c r="R16" i="2" s="1"/>
  <c r="P14" i="2"/>
  <c r="N14" i="2"/>
  <c r="N16" i="2" s="1"/>
  <c r="L14" i="2"/>
  <c r="L16" i="2" s="1"/>
  <c r="L19" i="2" s="1"/>
  <c r="M19" i="2" s="1"/>
  <c r="J14" i="2"/>
  <c r="J16" i="2" s="1"/>
  <c r="H14" i="2"/>
  <c r="F14" i="2"/>
  <c r="F16" i="2" s="1"/>
  <c r="F19" i="2" s="1"/>
  <c r="G19" i="2" s="1"/>
  <c r="D14" i="2"/>
  <c r="D50" i="2" s="1"/>
  <c r="B14" i="2"/>
  <c r="Z13" i="2"/>
  <c r="Z12" i="2"/>
  <c r="Z11" i="2"/>
  <c r="I59" i="2" l="1"/>
  <c r="Q59" i="2"/>
  <c r="Z18" i="2"/>
  <c r="N19" i="2"/>
  <c r="O19" i="2" s="1"/>
  <c r="R19" i="2"/>
  <c r="J19" i="2"/>
  <c r="J27" i="2" s="1"/>
  <c r="T50" i="2"/>
  <c r="U50" i="2" s="1"/>
  <c r="Z17" i="2"/>
  <c r="B50" i="2"/>
  <c r="Z38" i="2"/>
  <c r="C59" i="2"/>
  <c r="T16" i="2"/>
  <c r="T19" i="2" s="1"/>
  <c r="U19" i="2" s="1"/>
  <c r="D16" i="2"/>
  <c r="D19" i="2" s="1"/>
  <c r="E19" i="2" s="1"/>
  <c r="R50" i="2"/>
  <c r="S50" i="2" s="1"/>
  <c r="U59" i="2"/>
  <c r="P50" i="2"/>
  <c r="Q50" i="2" s="1"/>
  <c r="S59" i="2"/>
  <c r="G59" i="2"/>
  <c r="P16" i="2"/>
  <c r="P19" i="2" s="1"/>
  <c r="Q19" i="2" s="1"/>
  <c r="N50" i="2"/>
  <c r="O50" i="2" s="1"/>
  <c r="E59" i="2"/>
  <c r="L50" i="2"/>
  <c r="M50" i="2" s="1"/>
  <c r="B16" i="2"/>
  <c r="B19" i="2" s="1"/>
  <c r="B21" i="2" s="1"/>
  <c r="C21" i="2" s="1"/>
  <c r="J50" i="2"/>
  <c r="K50" i="2" s="1"/>
  <c r="O59" i="2"/>
  <c r="X50" i="2"/>
  <c r="Y50" i="2" s="1"/>
  <c r="H50" i="2"/>
  <c r="I50" i="2" s="1"/>
  <c r="Y59" i="2"/>
  <c r="M59" i="2"/>
  <c r="H16" i="2"/>
  <c r="H19" i="2" s="1"/>
  <c r="I19" i="2" s="1"/>
  <c r="V50" i="2"/>
  <c r="W50" i="2" s="1"/>
  <c r="F50" i="2"/>
  <c r="G50" i="2" s="1"/>
  <c r="K59" i="2"/>
  <c r="W59" i="2"/>
  <c r="L28" i="2"/>
  <c r="K19" i="2"/>
  <c r="J28" i="2"/>
  <c r="R28" i="2"/>
  <c r="R27" i="2"/>
  <c r="X28" i="2"/>
  <c r="N27" i="2"/>
  <c r="V28" i="2"/>
  <c r="F28" i="2"/>
  <c r="L27" i="2"/>
  <c r="D28" i="2"/>
  <c r="X27" i="2"/>
  <c r="V27" i="2"/>
  <c r="F27" i="2"/>
  <c r="N28" i="2"/>
  <c r="D27" i="2"/>
  <c r="V21" i="2"/>
  <c r="W21" i="2" s="1"/>
  <c r="F21" i="2"/>
  <c r="R21" i="2"/>
  <c r="S21" i="2" s="1"/>
  <c r="S19" i="2"/>
  <c r="X21" i="2"/>
  <c r="L21" i="2"/>
  <c r="M21" i="2" s="1"/>
  <c r="N21" i="2"/>
  <c r="Z14" i="2"/>
  <c r="AA59" i="2" s="1"/>
  <c r="E50" i="2"/>
  <c r="T27" i="2" l="1"/>
  <c r="H21" i="2"/>
  <c r="J21" i="2"/>
  <c r="K21" i="2" s="1"/>
  <c r="T28" i="2"/>
  <c r="T21" i="2"/>
  <c r="U21" i="2" s="1"/>
  <c r="D21" i="2"/>
  <c r="E21" i="2" s="1"/>
  <c r="B28" i="2"/>
  <c r="C19" i="2"/>
  <c r="H27" i="2"/>
  <c r="H28" i="2"/>
  <c r="B27" i="2"/>
  <c r="P28" i="2"/>
  <c r="Z16" i="2"/>
  <c r="Z19" i="2" s="1"/>
  <c r="AA19" i="2" s="1"/>
  <c r="P21" i="2"/>
  <c r="Q21" i="2" s="1"/>
  <c r="P27" i="2"/>
  <c r="Z37" i="2"/>
  <c r="Z50" i="2" s="1"/>
  <c r="AA50" i="2" s="1"/>
  <c r="X33" i="2"/>
  <c r="Y33" i="2" s="1"/>
  <c r="L33" i="2"/>
  <c r="L52" i="2" s="1"/>
  <c r="M52" i="2" s="1"/>
  <c r="R33" i="2"/>
  <c r="S33" i="2" s="1"/>
  <c r="C50" i="2"/>
  <c r="D33" i="2"/>
  <c r="E33" i="2" s="1"/>
  <c r="T33" i="2"/>
  <c r="F33" i="2"/>
  <c r="V33" i="2"/>
  <c r="J33" i="2"/>
  <c r="N33" i="2"/>
  <c r="I21" i="2"/>
  <c r="G21" i="2"/>
  <c r="Y21" i="2"/>
  <c r="O21" i="2"/>
  <c r="Z27" i="2" l="1"/>
  <c r="Z28" i="2"/>
  <c r="B33" i="2"/>
  <c r="C33" i="2" s="1"/>
  <c r="H33" i="2"/>
  <c r="I33" i="2" s="1"/>
  <c r="L54" i="2"/>
  <c r="M54" i="2" s="1"/>
  <c r="Z21" i="2"/>
  <c r="AA21" i="2" s="1"/>
  <c r="D52" i="2"/>
  <c r="E52" i="2" s="1"/>
  <c r="P33" i="2"/>
  <c r="Q33" i="2" s="1"/>
  <c r="B52" i="2"/>
  <c r="C52" i="2" s="1"/>
  <c r="Z33" i="2"/>
  <c r="Z52" i="2" s="1"/>
  <c r="R52" i="2"/>
  <c r="S52" i="2" s="1"/>
  <c r="X52" i="2"/>
  <c r="Y52" i="2" s="1"/>
  <c r="M33" i="2"/>
  <c r="H52" i="2"/>
  <c r="G33" i="2"/>
  <c r="F52" i="2"/>
  <c r="T52" i="2"/>
  <c r="U33" i="2"/>
  <c r="W33" i="2"/>
  <c r="V52" i="2"/>
  <c r="O33" i="2"/>
  <c r="N52" i="2"/>
  <c r="K33" i="2"/>
  <c r="J52" i="2"/>
  <c r="L61" i="2" l="1"/>
  <c r="M61" i="2" s="1"/>
  <c r="P52" i="2"/>
  <c r="Q52" i="2" s="1"/>
  <c r="X54" i="2"/>
  <c r="X61" i="2" s="1"/>
  <c r="B54" i="2"/>
  <c r="B61" i="2" s="1"/>
  <c r="B63" i="2" s="1"/>
  <c r="B64" i="2" s="1"/>
  <c r="D54" i="2"/>
  <c r="D61" i="2" s="1"/>
  <c r="AA52" i="2"/>
  <c r="Z54" i="2"/>
  <c r="Z61" i="2" s="1"/>
  <c r="AA33" i="2"/>
  <c r="I52" i="2"/>
  <c r="H54" i="2"/>
  <c r="R54" i="2"/>
  <c r="R61" i="2" s="1"/>
  <c r="Y54" i="2"/>
  <c r="V54" i="2"/>
  <c r="W52" i="2"/>
  <c r="K52" i="2"/>
  <c r="J54" i="2"/>
  <c r="U52" i="2"/>
  <c r="T54" i="2"/>
  <c r="G52" i="2"/>
  <c r="F54" i="2"/>
  <c r="O52" i="2"/>
  <c r="N54" i="2"/>
  <c r="D27" i="1"/>
  <c r="D23" i="1"/>
  <c r="I39" i="1"/>
  <c r="I42" i="1" s="1"/>
  <c r="I23" i="1"/>
  <c r="I17" i="1"/>
  <c r="D37" i="1"/>
  <c r="D29" i="1"/>
  <c r="D25" i="1"/>
  <c r="D17" i="1"/>
  <c r="AA61" i="2" l="1"/>
  <c r="Z63" i="2"/>
  <c r="Z64" i="2" s="1"/>
  <c r="R63" i="2"/>
  <c r="R64" i="2" s="1"/>
  <c r="Y61" i="2"/>
  <c r="X63" i="2"/>
  <c r="X64" i="2" s="1"/>
  <c r="L63" i="2"/>
  <c r="L64" i="2" s="1"/>
  <c r="L66" i="2"/>
  <c r="M66" i="2" s="1"/>
  <c r="D63" i="2"/>
  <c r="D64" i="2" s="1"/>
  <c r="P54" i="2"/>
  <c r="P61" i="2" s="1"/>
  <c r="E54" i="2"/>
  <c r="C61" i="2"/>
  <c r="C54" i="2"/>
  <c r="AA54" i="2"/>
  <c r="S54" i="2"/>
  <c r="B66" i="2"/>
  <c r="C66" i="2" s="1"/>
  <c r="I54" i="2"/>
  <c r="H61" i="2"/>
  <c r="S61" i="2"/>
  <c r="U54" i="2"/>
  <c r="T61" i="2"/>
  <c r="K54" i="2"/>
  <c r="J61" i="2"/>
  <c r="N61" i="2"/>
  <c r="O54" i="2"/>
  <c r="W54" i="2"/>
  <c r="V61" i="2"/>
  <c r="F61" i="2"/>
  <c r="G54" i="2"/>
  <c r="E61" i="2"/>
  <c r="D30" i="1"/>
  <c r="D39" i="1" s="1"/>
  <c r="D66" i="2" l="1"/>
  <c r="E66" i="2" s="1"/>
  <c r="Z66" i="2"/>
  <c r="AA66" i="2" s="1"/>
  <c r="X66" i="2"/>
  <c r="Y66" i="2" s="1"/>
  <c r="N63" i="2"/>
  <c r="N64" i="2" s="1"/>
  <c r="J63" i="2"/>
  <c r="J64" i="2" s="1"/>
  <c r="T63" i="2"/>
  <c r="T64" i="2" s="1"/>
  <c r="T66" i="2"/>
  <c r="U66" i="2" s="1"/>
  <c r="F63" i="2"/>
  <c r="F64" i="2" s="1"/>
  <c r="V63" i="2"/>
  <c r="V64" i="2" s="1"/>
  <c r="V66" i="2"/>
  <c r="W66" i="2" s="1"/>
  <c r="H63" i="2"/>
  <c r="H64" i="2" s="1"/>
  <c r="Q61" i="2"/>
  <c r="P63" i="2"/>
  <c r="P64" i="2" s="1"/>
  <c r="R66" i="2"/>
  <c r="S66" i="2" s="1"/>
  <c r="Q54" i="2"/>
  <c r="I61" i="2"/>
  <c r="W61" i="2"/>
  <c r="O61" i="2"/>
  <c r="K61" i="2"/>
  <c r="U61" i="2"/>
  <c r="G61" i="2"/>
  <c r="F66" i="2" l="1"/>
  <c r="G66" i="2" s="1"/>
  <c r="P66" i="2"/>
  <c r="Q66" i="2" s="1"/>
  <c r="J66" i="2"/>
  <c r="K66" i="2" s="1"/>
  <c r="H66" i="2"/>
  <c r="I66" i="2" s="1"/>
  <c r="N66" i="2"/>
  <c r="O66" i="2" s="1"/>
</calcChain>
</file>

<file path=xl/sharedStrings.xml><?xml version="1.0" encoding="utf-8"?>
<sst xmlns="http://schemas.openxmlformats.org/spreadsheetml/2006/main" count="190" uniqueCount="169">
  <si>
    <t>ACTIVO</t>
  </si>
  <si>
    <t>Activo Circulante</t>
  </si>
  <si>
    <t>Caja</t>
  </si>
  <si>
    <t>Bancos</t>
  </si>
  <si>
    <t>Inversiones a corto plazo</t>
  </si>
  <si>
    <t>Cuentas por cobrar</t>
  </si>
  <si>
    <t>Inventario</t>
  </si>
  <si>
    <t>Total Activo Circulante</t>
  </si>
  <si>
    <t>Activo Fijo</t>
  </si>
  <si>
    <t>Edificios</t>
  </si>
  <si>
    <t>Terrenos</t>
  </si>
  <si>
    <t>Depreciación acumulada</t>
  </si>
  <si>
    <t>Mobiliario y equipo.</t>
  </si>
  <si>
    <t>Equipo de transporte</t>
  </si>
  <si>
    <t>Equipo de cómputo</t>
  </si>
  <si>
    <t>Total Activo Fijo</t>
  </si>
  <si>
    <t>Activo diferido</t>
  </si>
  <si>
    <t>Rentas pagadas por anticipado</t>
  </si>
  <si>
    <t>Otros activos diferidos</t>
  </si>
  <si>
    <t>Total Activo Diferido</t>
  </si>
  <si>
    <t xml:space="preserve">SUMA DEL ACTIVO </t>
  </si>
  <si>
    <t>PASIVO</t>
  </si>
  <si>
    <t>Pasivo Circulante</t>
  </si>
  <si>
    <t>Proveedores</t>
  </si>
  <si>
    <t>Acreedores</t>
  </si>
  <si>
    <t>Intereses por pagar</t>
  </si>
  <si>
    <t>Anticipo de clientes</t>
  </si>
  <si>
    <t>Total Pasivo Circulante</t>
  </si>
  <si>
    <t>Pasivo a Largo Plazo</t>
  </si>
  <si>
    <t>Documentos por pagar a largo plazo</t>
  </si>
  <si>
    <t>CAPITAL CONTABLE</t>
  </si>
  <si>
    <t>Capital social</t>
  </si>
  <si>
    <t>Reservas</t>
  </si>
  <si>
    <t>Resultados de ejercicios anteriores</t>
  </si>
  <si>
    <t>Resultados del ejercicio</t>
  </si>
  <si>
    <t>Total Capital contable</t>
  </si>
  <si>
    <t>SUMA DEL CAPITAL CONTABLE</t>
  </si>
  <si>
    <t>SUMA DEL PASIVO + CAPITAL CONTABLE</t>
  </si>
  <si>
    <t>SUMA DEL PASIVO</t>
  </si>
  <si>
    <t>BALANCE GENERAL AL 31 DE DICIEMBRE DE 2019</t>
  </si>
  <si>
    <t>MUEBLES FINOS S.A.S</t>
  </si>
  <si>
    <t>Cifras en COP KK</t>
  </si>
  <si>
    <t xml:space="preserve">Estado de Resultados </t>
  </si>
  <si>
    <t>Enero</t>
  </si>
  <si>
    <t>%</t>
  </si>
  <si>
    <t>Febrero</t>
  </si>
  <si>
    <t xml:space="preserve">Marzo 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</si>
  <si>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</si>
  <si>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</si>
  <si>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</si>
  <si>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</si>
  <si>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</si>
  <si>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</si>
  <si>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</si>
  <si>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</si>
  <si>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</si>
  <si>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Acumulado</t>
  </si>
  <si>
    <t>INGRESOS</t>
  </si>
  <si>
    <t>Ventas brutas</t>
  </si>
  <si>
    <t>Devoluciones</t>
  </si>
  <si>
    <t>Descuentos</t>
  </si>
  <si>
    <t>Ventas Netas</t>
  </si>
  <si>
    <t>Costo de Ventas</t>
  </si>
  <si>
    <t>Costo de ventas</t>
  </si>
  <si>
    <t>UTILIDAD BRUTA</t>
  </si>
  <si>
    <t>GASTOS OPERATIVOS</t>
  </si>
  <si>
    <t>Gastos de venta</t>
  </si>
  <si>
    <t>Sueldos y salarios</t>
  </si>
  <si>
    <t>Comisiones de venta</t>
  </si>
  <si>
    <t>Gastos de entrega / fletes</t>
  </si>
  <si>
    <t>Gastos de mercadotecnia</t>
  </si>
  <si>
    <t xml:space="preserve">Viajes </t>
  </si>
  <si>
    <t>Viáticos</t>
  </si>
  <si>
    <t>Otros gastos de venta</t>
  </si>
  <si>
    <t>Total Gastos de venta</t>
  </si>
  <si>
    <t>Gastos administrativos</t>
  </si>
  <si>
    <t>Beneficios y compensaciones</t>
  </si>
  <si>
    <t>Impuestos sobre nómina</t>
  </si>
  <si>
    <t>Seguros</t>
  </si>
  <si>
    <t>Eletricidad</t>
  </si>
  <si>
    <t>Teléfono</t>
  </si>
  <si>
    <t>Agua</t>
  </si>
  <si>
    <t>Telefonía celular</t>
  </si>
  <si>
    <t>Artículos de papelería</t>
  </si>
  <si>
    <t>Mensajería</t>
  </si>
  <si>
    <t>Mantenimiento de equipo</t>
  </si>
  <si>
    <t xml:space="preserve">Membresías </t>
  </si>
  <si>
    <t>Muebles y equipo de oficina</t>
  </si>
  <si>
    <t>Total Gastos Administrativos</t>
  </si>
  <si>
    <t>TOTAL GASTOS OPERATIVOS</t>
  </si>
  <si>
    <t>UTILIDAD OPERATIVA</t>
  </si>
  <si>
    <t>Gastos financieros</t>
  </si>
  <si>
    <t>Gastos y productos financieros</t>
  </si>
  <si>
    <t>Total Gastos Financieros</t>
  </si>
  <si>
    <t>UTILIDAD ANTES DE IMPUESTOS</t>
  </si>
  <si>
    <t>Impuestos sobre el ingreso</t>
  </si>
  <si>
    <t>Total impuestos</t>
  </si>
  <si>
    <t>UTILIDAD NETA</t>
  </si>
  <si>
    <t>Fuente:</t>
  </si>
  <si>
    <t>Muebles Finos S.A.S.</t>
  </si>
  <si>
    <t>Al 31 de diciembre de 2019</t>
  </si>
  <si>
    <t>Cifras COP KK</t>
  </si>
  <si>
    <t>Materia Prima</t>
  </si>
  <si>
    <t>Mano de Obra</t>
  </si>
  <si>
    <t>CIF</t>
  </si>
  <si>
    <t>Arriendos</t>
  </si>
  <si>
    <t>• RAZON CORRIENTE = Activo Corriente / Pasivo Corriente</t>
  </si>
  <si>
    <t>• CAPITAL NETO DE TRABAJO = Activo Corriente - Pasivo Corriente</t>
  </si>
  <si>
    <t>• PRUEBA ACIDA = (Activo Corriente - Inventarios) / Pasivo Corriente</t>
  </si>
  <si>
    <t>INDICADORES DE LIQUIDEZ</t>
  </si>
  <si>
    <t>INDICADORES DE ENDEUDAMIENTO</t>
  </si>
  <si>
    <t>• NIVEL DE ENDEUDAMIENTO = Total Pasivos con Terceros / Total Activo</t>
  </si>
  <si>
    <t>• ENDEUDAMIENTO FINANCIERO = Obligaciones Financieras / Ventas Netas</t>
  </si>
  <si>
    <t>• COBERTURA DE INTERESES = Utilidad Operacional / Intereses Pagados</t>
  </si>
  <si>
    <t>• IMPACTO DE LA CARGA FINANCIERA = Gastos Financieros / Ventas Netas</t>
  </si>
  <si>
    <t>MARGEN BRUTO DE UTILIDAD = Utilidad Bruta / Ventas Netas</t>
  </si>
  <si>
    <t>• MARGEN OPERACIONAL = Utilidad Operacional / Ventas Netas</t>
  </si>
  <si>
    <t>• RENDIMIENTO DEL PATRIMONIO = Utilidad Neta/ Patrimonio</t>
  </si>
  <si>
    <t>• RENDIMIENTO DEL ACTIVO = Utilidad Neta/ Activos</t>
  </si>
  <si>
    <t>• MARGEN NETO = Margen Neto / Ventas Netas</t>
  </si>
  <si>
    <t>INDICADORES DE RENTABILIDAD</t>
  </si>
  <si>
    <t>ISR por pagar (Impuesto sobre la renta)</t>
  </si>
  <si>
    <t>Dato X</t>
  </si>
  <si>
    <t>Dato Y</t>
  </si>
  <si>
    <t>Dato Z</t>
  </si>
  <si>
    <t>Dato del Balance</t>
  </si>
  <si>
    <t>Dato de estado de resultados</t>
  </si>
  <si>
    <t>Indicador 2019</t>
  </si>
  <si>
    <t>Indicador 2018</t>
  </si>
  <si>
    <t xml:space="preserve">Total Pasivo </t>
  </si>
  <si>
    <t>Ind Muebles</t>
  </si>
  <si>
    <t>Estado de Pérdidas y Ganancias</t>
  </si>
  <si>
    <t>Ingresos</t>
  </si>
  <si>
    <t>Utilidad Bruta</t>
  </si>
  <si>
    <t>Utilidad Operacional</t>
  </si>
  <si>
    <t>Costos Financieros</t>
  </si>
  <si>
    <t>Utilidad antes de impuestos</t>
  </si>
  <si>
    <t>Impuestos</t>
  </si>
  <si>
    <t>Utilidad Neta</t>
  </si>
  <si>
    <t>Cifras en millones de pesos colombiano</t>
  </si>
  <si>
    <t>Balance General</t>
  </si>
  <si>
    <t>Activo</t>
  </si>
  <si>
    <t>Efectivo y equivalentes</t>
  </si>
  <si>
    <t>Inventarios</t>
  </si>
  <si>
    <t>Total activo corriente</t>
  </si>
  <si>
    <t>Propiedad, planta y equipo</t>
  </si>
  <si>
    <t>Total activo no corriente</t>
  </si>
  <si>
    <t>Total Activo</t>
  </si>
  <si>
    <t>Pasivo</t>
  </si>
  <si>
    <t>Cuentas por pagar</t>
  </si>
  <si>
    <t>pasivo financiero corto plazo</t>
  </si>
  <si>
    <t>Total pasivo corriente</t>
  </si>
  <si>
    <t>pasivo financiero largo plazo</t>
  </si>
  <si>
    <t>Total pasivo no corriente</t>
  </si>
  <si>
    <t>Total Pasivo</t>
  </si>
  <si>
    <t>Patrimonio</t>
  </si>
  <si>
    <t>Capital emitido</t>
  </si>
  <si>
    <t>Total Patrimonio</t>
  </si>
  <si>
    <t>Cifras en millones de pesos colombianos</t>
  </si>
  <si>
    <t>Indicadores Financieros</t>
  </si>
  <si>
    <t>Evolución de las Ventas 2018 vs 2017</t>
  </si>
  <si>
    <t>Margen Operacional</t>
  </si>
  <si>
    <t>Margen Neto</t>
  </si>
  <si>
    <t>Nivel de Endeudamiento (Pas / Act)</t>
  </si>
  <si>
    <t>Nivel de apalancamiento (Pas / Patrim)</t>
  </si>
  <si>
    <t xml:space="preserve">La información contenida en esta página es pública y no compromete a InformaciónPaís.com </t>
  </si>
  <si>
    <t>Amortizacuiones y Depreciaciones</t>
  </si>
  <si>
    <t>• EBITDA =  Margen Operacional + Depreciaciones y amortizaciones</t>
  </si>
  <si>
    <t>En forma de porcentaje se compara EBITDA / Ventas netas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</si>
</sst>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&quot;$&quot;#,##0"/>
    <numFmt numFmtId="165" formatCode="&quot;$&quot;#,##0.00"/>
    <numFmt numFmtId="166" formatCode="0.0%"/>
    <numFmt numFmtId="167" formatCode="&quot;$&quot;#,##0.0"/>
    <numFmt numFmtId="168" formatCode="_-* #,##0_-;\-* #,##0_-;_-* &quot;-&quot;??_-;_-@_-"/>
    <numFmt numFmtId="170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color rgb="FF16307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rgb="FF1A1A1A"/>
      <name val="Georgia"/>
      <family val="1"/>
    </font>
    <font>
      <b/>
      <sz val="10"/>
      <color rgb="FF1A1A1A"/>
      <name val="Georgia"/>
      <family val="1"/>
    </font>
  </fonts>
  <fills count="8">
    <fill>
      <patternFill patternType="none"/>
    </fill>
    <fill>
      <patternFill patternType="gray125"/>
    </fill>
    <fill>
      <patternFill patternType="solid">
        <fgColor rgb="FF16307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5C11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/>
      <right style="thin">
        <color rgb="FF163072"/>
      </right>
      <top/>
      <bottom/>
      <diagonal/>
    </border>
    <border>
      <left/>
      <right style="thin">
        <color rgb="FF163072"/>
      </right>
      <top/>
      <bottom style="thin">
        <color rgb="FF163072"/>
      </bottom>
      <diagonal/>
    </border>
    <border>
      <left style="thin">
        <color rgb="FF163072"/>
      </left>
      <right/>
      <top/>
      <bottom/>
      <diagonal/>
    </border>
    <border>
      <left style="thin">
        <color rgb="FF163072"/>
      </left>
      <right/>
      <top/>
      <bottom style="thin">
        <color rgb="FF163072"/>
      </bottom>
      <diagonal/>
    </border>
    <border>
      <left/>
      <right/>
      <top/>
      <bottom style="medium">
        <color rgb="FF16307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0" fillId="3" borderId="0" xfId="0" applyFill="1"/>
    <xf numFmtId="0" fontId="0" fillId="0" borderId="0" xfId="0" applyFill="1"/>
    <xf numFmtId="9" fontId="0" fillId="0" borderId="0" xfId="1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0" fontId="6" fillId="2" borderId="0" xfId="0" applyFont="1" applyFill="1" applyAlignment="1">
      <alignment horizontal="center"/>
    </xf>
    <xf numFmtId="0" fontId="4" fillId="3" borderId="0" xfId="0" applyFont="1" applyFill="1"/>
    <xf numFmtId="3" fontId="5" fillId="0" borderId="0" xfId="0" applyNumberFormat="1" applyFont="1"/>
    <xf numFmtId="165" fontId="5" fillId="0" borderId="0" xfId="0" applyNumberFormat="1" applyFont="1"/>
    <xf numFmtId="3" fontId="7" fillId="2" borderId="0" xfId="0" applyNumberFormat="1" applyFont="1" applyFill="1"/>
    <xf numFmtId="9" fontId="7" fillId="2" borderId="0" xfId="1" applyFont="1" applyFill="1"/>
    <xf numFmtId="0" fontId="8" fillId="4" borderId="0" xfId="0" applyFont="1" applyFill="1"/>
    <xf numFmtId="3" fontId="9" fillId="4" borderId="0" xfId="0" applyNumberFormat="1" applyFont="1" applyFill="1"/>
    <xf numFmtId="9" fontId="9" fillId="4" borderId="0" xfId="1" applyFont="1" applyFill="1"/>
    <xf numFmtId="0" fontId="8" fillId="3" borderId="0" xfId="0" applyFont="1" applyFill="1"/>
    <xf numFmtId="3" fontId="9" fillId="3" borderId="0" xfId="0" applyNumberFormat="1" applyFont="1" applyFill="1"/>
    <xf numFmtId="9" fontId="9" fillId="3" borderId="0" xfId="1" applyFont="1" applyFill="1"/>
    <xf numFmtId="0" fontId="4" fillId="4" borderId="0" xfId="0" applyFont="1" applyFill="1"/>
    <xf numFmtId="0" fontId="4" fillId="0" borderId="0" xfId="0" applyFont="1" applyAlignment="1">
      <alignment horizontal="center"/>
    </xf>
    <xf numFmtId="166" fontId="7" fillId="2" borderId="0" xfId="1" applyNumberFormat="1" applyFont="1" applyFill="1"/>
    <xf numFmtId="0" fontId="6" fillId="4" borderId="0" xfId="0" applyFont="1" applyFill="1"/>
    <xf numFmtId="3" fontId="7" fillId="4" borderId="0" xfId="0" applyNumberFormat="1" applyFont="1" applyFill="1"/>
    <xf numFmtId="9" fontId="7" fillId="4" borderId="0" xfId="1" applyFont="1" applyFill="1"/>
    <xf numFmtId="167" fontId="5" fillId="0" borderId="0" xfId="0" applyNumberFormat="1" applyFont="1"/>
    <xf numFmtId="167" fontId="7" fillId="2" borderId="0" xfId="0" applyNumberFormat="1" applyFont="1" applyFill="1"/>
    <xf numFmtId="165" fontId="7" fillId="2" borderId="0" xfId="0" applyNumberFormat="1" applyFont="1" applyFill="1"/>
    <xf numFmtId="167" fontId="4" fillId="4" borderId="0" xfId="0" applyNumberFormat="1" applyFont="1" applyFill="1"/>
    <xf numFmtId="9" fontId="4" fillId="4" borderId="0" xfId="1" applyFont="1" applyFill="1"/>
    <xf numFmtId="0" fontId="11" fillId="0" borderId="0" xfId="0" applyFont="1"/>
    <xf numFmtId="0" fontId="13" fillId="0" borderId="5" xfId="0" applyFont="1" applyBorder="1"/>
    <xf numFmtId="164" fontId="11" fillId="0" borderId="0" xfId="0" applyNumberFormat="1" applyFont="1"/>
    <xf numFmtId="0" fontId="11" fillId="0" borderId="0" xfId="0" applyNumberFormat="1" applyFont="1"/>
    <xf numFmtId="0" fontId="11" fillId="0" borderId="5" xfId="0" applyFont="1" applyBorder="1"/>
    <xf numFmtId="0" fontId="13" fillId="3" borderId="0" xfId="0" applyFont="1" applyFill="1"/>
    <xf numFmtId="0" fontId="11" fillId="3" borderId="0" xfId="0" applyFont="1" applyFill="1"/>
    <xf numFmtId="164" fontId="13" fillId="3" borderId="0" xfId="0" applyNumberFormat="1" applyFont="1" applyFill="1"/>
    <xf numFmtId="9" fontId="11" fillId="0" borderId="0" xfId="1" applyFont="1"/>
    <xf numFmtId="0" fontId="12" fillId="2" borderId="0" xfId="0" applyFont="1" applyFill="1" applyAlignment="1">
      <alignment horizontal="center"/>
    </xf>
    <xf numFmtId="164" fontId="10" fillId="0" borderId="0" xfId="0" applyNumberFormat="1" applyFont="1"/>
    <xf numFmtId="0" fontId="13" fillId="0" borderId="0" xfId="0" applyFont="1" applyFill="1"/>
    <xf numFmtId="0" fontId="11" fillId="0" borderId="0" xfId="0" applyFont="1" applyFill="1"/>
    <xf numFmtId="164" fontId="13" fillId="0" borderId="0" xfId="0" applyNumberFormat="1" applyFont="1" applyFill="1"/>
    <xf numFmtId="0" fontId="13" fillId="0" borderId="0" xfId="0" applyFont="1"/>
    <xf numFmtId="0" fontId="3" fillId="0" borderId="0" xfId="0" applyFont="1"/>
    <xf numFmtId="43" fontId="0" fillId="0" borderId="0" xfId="2" applyFont="1"/>
    <xf numFmtId="168" fontId="0" fillId="0" borderId="0" xfId="2" applyNumberFormat="1" applyFont="1"/>
    <xf numFmtId="2" fontId="0" fillId="0" borderId="0" xfId="0" applyNumberFormat="1"/>
    <xf numFmtId="166" fontId="0" fillId="0" borderId="0" xfId="1" applyNumberFormat="1" applyFont="1"/>
    <xf numFmtId="0" fontId="2" fillId="5" borderId="0" xfId="0" applyFont="1" applyFill="1" applyAlignment="1">
      <alignment horizontal="center"/>
    </xf>
    <xf numFmtId="168" fontId="0" fillId="6" borderId="0" xfId="2" applyNumberFormat="1" applyFont="1" applyFill="1"/>
    <xf numFmtId="168" fontId="0" fillId="3" borderId="0" xfId="2" applyNumberFormat="1" applyFont="1" applyFill="1"/>
    <xf numFmtId="0" fontId="0" fillId="6" borderId="0" xfId="0" applyFill="1"/>
    <xf numFmtId="170" fontId="0" fillId="0" borderId="0" xfId="0" applyNumberFormat="1"/>
    <xf numFmtId="9" fontId="0" fillId="0" borderId="0" xfId="0" applyNumberFormat="1"/>
    <xf numFmtId="0" fontId="10" fillId="3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/>
    </xf>
    <xf numFmtId="43" fontId="11" fillId="0" borderId="0" xfId="2" applyFont="1"/>
    <xf numFmtId="0" fontId="15" fillId="0" borderId="0" xfId="0" applyFont="1" applyAlignment="1">
      <alignment horizontal="center" vertical="center" wrapText="1"/>
    </xf>
    <xf numFmtId="0" fontId="15" fillId="7" borderId="6" xfId="0" applyFont="1" applyFill="1" applyBorder="1" applyAlignment="1">
      <alignment horizontal="center" vertical="center" wrapText="1"/>
    </xf>
    <xf numFmtId="0" fontId="14" fillId="7" borderId="6" xfId="0" applyFont="1" applyFill="1" applyBorder="1" applyAlignment="1">
      <alignment horizontal="left" vertical="center" wrapText="1"/>
    </xf>
    <xf numFmtId="9" fontId="14" fillId="7" borderId="6" xfId="0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15" fillId="7" borderId="6" xfId="0" applyFont="1" applyFill="1" applyBorder="1" applyAlignment="1">
      <alignment horizontal="center" vertical="center" wrapText="1"/>
    </xf>
    <xf numFmtId="0" fontId="14" fillId="7" borderId="6" xfId="0" applyFont="1" applyFill="1" applyBorder="1" applyAlignment="1">
      <alignment horizontal="right" vertical="center" wrapText="1"/>
    </xf>
    <xf numFmtId="0" fontId="0" fillId="7" borderId="6" xfId="0" applyFill="1" applyBorder="1" applyAlignment="1">
      <alignment horizontal="center" vertical="center" wrapText="1"/>
    </xf>
    <xf numFmtId="0" fontId="15" fillId="7" borderId="0" xfId="0" applyFont="1" applyFill="1" applyBorder="1" applyAlignment="1">
      <alignment horizontal="center" vertical="center" wrapText="1"/>
    </xf>
    <xf numFmtId="0" fontId="14" fillId="7" borderId="0" xfId="0" applyFont="1" applyFill="1" applyBorder="1" applyAlignment="1">
      <alignment horizontal="right" vertical="center" wrapText="1"/>
    </xf>
    <xf numFmtId="0" fontId="0" fillId="0" borderId="0" xfId="0" applyBorder="1"/>
    <xf numFmtId="9" fontId="14" fillId="7" borderId="6" xfId="1" applyFont="1" applyFill="1" applyBorder="1" applyAlignment="1">
      <alignment horizontal="right" vertical="center" wrapText="1"/>
    </xf>
    <xf numFmtId="166" fontId="0" fillId="0" borderId="0" xfId="0" applyNumberFormat="1"/>
    <xf numFmtId="0" fontId="14" fillId="0" borderId="0" xfId="0" applyFont="1" applyAlignment="1">
      <alignment horizontal="left" vertical="center" wrapText="1"/>
    </xf>
    <xf numFmtId="0" fontId="14" fillId="0" borderId="7" xfId="0" applyFont="1" applyBorder="1" applyAlignment="1">
      <alignment horizontal="left" vertical="top" wrapText="1"/>
    </xf>
    <xf numFmtId="168" fontId="5" fillId="0" borderId="0" xfId="2" applyNumberFormat="1" applyFont="1"/>
    <xf numFmtId="3" fontId="0" fillId="0" borderId="0" xfId="0" applyNumberFormat="1"/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9" defaultPivotStyle="PivotStyleLight16"/>
  <colors>
    <mruColors>
      <color rgb="FF1630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518160</xdr:colOff>
      <xdr:row>0</xdr:row>
      <xdr:rowOff>0</xdr:rowOff>
    </xdr:from>
    <xdr:to>
      <xdr:col>2</xdr:col>
      <xdr:colOff>160020</xdr:colOff>
      <xdr:row>7</xdr:row>
      <xdr:rowOff>30480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F9EE2DA-D79D-4C1A-B3EA-4BF9D41FA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5340" y="0"/>
          <a:ext cx="1501140" cy="960120"/>
        </a:xfrm>
        <a:prstGeom prst="rect">
          <a:avLst/>
        </a:prstGeom>
      </xdr:spPr>
    </xdr:pic>
    <xdr:clientData/>
  </xdr:twoCellAnchor>
  <xdr:twoCellAnchor editAs="oneCell">
    <xdr:from>
      <xdr:col>1</xdr:col>
      <xdr:colOff>765810</xdr:colOff>
      <xdr:row>45</xdr:row>
      <xdr:rowOff>103050</xdr:rowOff>
    </xdr:from>
    <xdr:to>
      <xdr:col>1</xdr:col>
      <xdr:colOff>1699260</xdr:colOff>
      <xdr:row>50</xdr:row>
      <xdr:rowOff>48348</xdr:rowOff>
    </xdr:to>
    <xdr:pic>
      <xdr:nvPicPr>
        <xdr:cNvPr id="4" name="2 Imagen" descr="logo corponet para mailing.png">
          <a:extLst>
            <a:ext uri="{FF2B5EF4-FFF2-40B4-BE49-F238E27FC236}">
              <a16:creationId xmlns:a16="http://schemas.microsoft.com/office/drawing/2014/main" id="{3797BFB3-13A6-4683-AC8D-3D750240A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62990" y="9208950"/>
          <a:ext cx="933450" cy="7072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1017270</xdr:colOff>
      <xdr:row>68</xdr:row>
      <xdr:rowOff>167430</xdr:rowOff>
    </xdr:from>
    <xdr:to>
      <xdr:col>1</xdr:col>
      <xdr:colOff>190500</xdr:colOff>
      <xdr:row>73</xdr:row>
      <xdr:rowOff>133014</xdr:rowOff>
    </xdr:to>
    <xdr:pic>
      <xdr:nvPicPr>
        <xdr:cNvPr id="2" name="2 Imagen" descr="logo corponet para mailing.png">
          <a:extLst>
            <a:ext uri="{FF2B5EF4-FFF2-40B4-BE49-F238E27FC236}">
              <a16:creationId xmlns:a16="http://schemas.microsoft.com/office/drawing/2014/main" id="{83650728-8802-4A54-B4D9-73A025E46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7270" y="13913910"/>
          <a:ext cx="1230630" cy="871518"/>
        </a:xfrm>
        <a:prstGeom prst="rect">
          <a:avLst/>
        </a:prstGeom>
      </xdr:spPr>
    </xdr:pic>
    <xdr:clientData/>
  </xdr:twoCellAnchor>
  <xdr:twoCellAnchor editAs="oneCell">
    <xdr:from>
      <xdr:col>0</xdr:col>
      <xdr:colOff>118534</xdr:colOff>
      <xdr:row>3</xdr:row>
      <xdr:rowOff>38373</xdr:rowOff>
    </xdr:from>
    <xdr:to>
      <xdr:col>0</xdr:col>
      <xdr:colOff>1752181</xdr:colOff>
      <xdr:row>7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C8B6F88-9ACE-4001-BC0A-09D167C27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534" y="571773"/>
          <a:ext cx="1633647" cy="8252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47"/>
  <sheetViews>
    <sheetView showGridLines="0" topLeftCell="A10" zoomScaleNormal="100" zoomScaleSheetLayoutView="50" workbookViewId="0">
      <selection activeCell="N27" sqref="N27"/>
    </sheetView>
  </sheetViews>
  <sheetFormatPr baseColWidth="10" defaultRowHeight="12" x14ac:dyDescent="0.25"/>
  <cols>
    <col min="1" max="1" width="4.33203125" style="30" customWidth="1"/>
    <col min="2" max="2" width="27.109375" style="30" customWidth="1"/>
    <col min="3" max="3" width="8.44140625" style="30" customWidth="1"/>
    <col min="4" max="4" width="11.5546875" style="30"/>
    <col min="5" max="5" width="5.109375" style="30" customWidth="1"/>
    <col min="6" max="6" width="3.6640625" style="30" customWidth="1"/>
    <col min="7" max="7" width="33.6640625" style="30" customWidth="1"/>
    <col min="8" max="8" width="18.33203125" style="30" customWidth="1"/>
    <col min="9" max="9" width="11.5546875" style="30"/>
    <col min="10" max="10" width="4.109375" style="30" customWidth="1"/>
    <col min="11" max="16384" width="11.5546875" style="30"/>
  </cols>
  <sheetData>
    <row r="1" spans="2:12" ht="6.6" customHeight="1" x14ac:dyDescent="0.25">
      <c r="B1" s="58"/>
      <c r="C1" s="59"/>
    </row>
    <row r="2" spans="2:12" ht="6.6" customHeight="1" x14ac:dyDescent="0.25">
      <c r="B2" s="58"/>
      <c r="C2" s="59"/>
    </row>
    <row r="3" spans="2:12" x14ac:dyDescent="0.25">
      <c r="B3" s="58"/>
      <c r="C3" s="59"/>
      <c r="D3" s="57" t="s">
        <v>40</v>
      </c>
      <c r="E3" s="57"/>
      <c r="F3" s="57"/>
      <c r="G3" s="57"/>
      <c r="H3" s="57"/>
      <c r="I3" s="57"/>
      <c r="J3" s="57"/>
    </row>
    <row r="4" spans="2:12" x14ac:dyDescent="0.25">
      <c r="B4" s="58"/>
      <c r="C4" s="59"/>
    </row>
    <row r="5" spans="2:12" x14ac:dyDescent="0.25">
      <c r="B5" s="58"/>
      <c r="C5" s="59"/>
      <c r="D5" s="57" t="s">
        <v>39</v>
      </c>
      <c r="E5" s="57"/>
      <c r="F5" s="57"/>
      <c r="G5" s="57"/>
      <c r="H5" s="57"/>
      <c r="I5" s="57"/>
      <c r="J5" s="57"/>
    </row>
    <row r="6" spans="2:12" x14ac:dyDescent="0.25">
      <c r="B6" s="60"/>
      <c r="C6" s="61"/>
      <c r="G6" s="44" t="s">
        <v>41</v>
      </c>
    </row>
    <row r="8" spans="2:12" x14ac:dyDescent="0.25">
      <c r="B8" s="56" t="s">
        <v>0</v>
      </c>
      <c r="C8" s="56"/>
      <c r="G8" s="56" t="s">
        <v>21</v>
      </c>
      <c r="H8" s="56"/>
    </row>
    <row r="9" spans="2:12" ht="7.2" customHeight="1" x14ac:dyDescent="0.25"/>
    <row r="10" spans="2:12" ht="12.6" thickBot="1" x14ac:dyDescent="0.3">
      <c r="B10" s="31" t="s">
        <v>1</v>
      </c>
      <c r="G10" s="31" t="s">
        <v>22</v>
      </c>
    </row>
    <row r="12" spans="2:12" x14ac:dyDescent="0.25">
      <c r="B12" s="30" t="s">
        <v>2</v>
      </c>
      <c r="D12" s="32">
        <v>22000</v>
      </c>
      <c r="G12" s="30" t="s">
        <v>23</v>
      </c>
      <c r="I12" s="32">
        <v>67000</v>
      </c>
      <c r="K12" s="33"/>
    </row>
    <row r="13" spans="2:12" x14ac:dyDescent="0.25">
      <c r="B13" s="30" t="s">
        <v>3</v>
      </c>
      <c r="D13" s="32">
        <v>220000</v>
      </c>
      <c r="G13" s="30" t="s">
        <v>24</v>
      </c>
      <c r="I13" s="32">
        <v>22000</v>
      </c>
    </row>
    <row r="14" spans="2:12" x14ac:dyDescent="0.25">
      <c r="B14" s="30" t="s">
        <v>4</v>
      </c>
      <c r="D14" s="32">
        <v>45000</v>
      </c>
      <c r="G14" s="30" t="s">
        <v>25</v>
      </c>
      <c r="I14" s="32">
        <v>20700</v>
      </c>
    </row>
    <row r="15" spans="2:12" x14ac:dyDescent="0.25">
      <c r="B15" s="30" t="s">
        <v>5</v>
      </c>
      <c r="D15" s="32">
        <v>143000</v>
      </c>
      <c r="G15" s="30" t="s">
        <v>121</v>
      </c>
      <c r="I15" s="32">
        <v>30000</v>
      </c>
    </row>
    <row r="16" spans="2:12" ht="12.6" thickBot="1" x14ac:dyDescent="0.3">
      <c r="B16" s="34" t="s">
        <v>6</v>
      </c>
      <c r="D16" s="32">
        <v>45000</v>
      </c>
      <c r="G16" s="34" t="s">
        <v>26</v>
      </c>
      <c r="I16" s="32">
        <v>21580</v>
      </c>
      <c r="L16" s="64"/>
    </row>
    <row r="17" spans="2:12" x14ac:dyDescent="0.25">
      <c r="B17" s="35" t="s">
        <v>7</v>
      </c>
      <c r="C17" s="36"/>
      <c r="D17" s="37">
        <f>SUM(D12:D16)</f>
        <v>475000</v>
      </c>
      <c r="G17" s="35" t="s">
        <v>27</v>
      </c>
      <c r="H17" s="36"/>
      <c r="I17" s="37">
        <f>SUM(I12:I16)</f>
        <v>161280</v>
      </c>
      <c r="K17" s="38"/>
      <c r="L17" s="64"/>
    </row>
    <row r="18" spans="2:12" ht="6" customHeight="1" x14ac:dyDescent="0.25"/>
    <row r="19" spans="2:12" ht="12.6" thickBot="1" x14ac:dyDescent="0.3">
      <c r="B19" s="31" t="s">
        <v>8</v>
      </c>
      <c r="G19" s="31" t="s">
        <v>28</v>
      </c>
    </row>
    <row r="21" spans="2:12" x14ac:dyDescent="0.25">
      <c r="B21" s="30" t="s">
        <v>9</v>
      </c>
      <c r="D21" s="32">
        <v>430000</v>
      </c>
    </row>
    <row r="22" spans="2:12" ht="12.6" thickBot="1" x14ac:dyDescent="0.3">
      <c r="B22" s="30" t="s">
        <v>10</v>
      </c>
      <c r="D22" s="32">
        <v>550000</v>
      </c>
      <c r="G22" s="34" t="s">
        <v>29</v>
      </c>
      <c r="I22" s="32">
        <v>77000</v>
      </c>
    </row>
    <row r="23" spans="2:12" x14ac:dyDescent="0.25">
      <c r="B23" s="30" t="s">
        <v>11</v>
      </c>
      <c r="D23" s="32">
        <f>+SUM(D21:D22)*(-0.1)</f>
        <v>-98000</v>
      </c>
      <c r="G23" s="35" t="s">
        <v>129</v>
      </c>
      <c r="H23" s="36"/>
      <c r="I23" s="37">
        <f>SUM(I22)</f>
        <v>77000</v>
      </c>
    </row>
    <row r="24" spans="2:12" x14ac:dyDescent="0.25">
      <c r="B24" s="30" t="s">
        <v>12</v>
      </c>
      <c r="D24" s="32">
        <v>56000</v>
      </c>
    </row>
    <row r="25" spans="2:12" x14ac:dyDescent="0.25">
      <c r="B25" s="30" t="s">
        <v>11</v>
      </c>
      <c r="D25" s="32">
        <f>+D24*(-0.1)</f>
        <v>-5600</v>
      </c>
    </row>
    <row r="26" spans="2:12" x14ac:dyDescent="0.25">
      <c r="B26" s="30" t="s">
        <v>13</v>
      </c>
      <c r="D26" s="32">
        <v>190000</v>
      </c>
      <c r="G26" s="39" t="s">
        <v>38</v>
      </c>
      <c r="I26" s="40">
        <f>+I17+I23</f>
        <v>238280</v>
      </c>
    </row>
    <row r="27" spans="2:12" x14ac:dyDescent="0.25">
      <c r="B27" s="30" t="s">
        <v>11</v>
      </c>
      <c r="D27" s="32">
        <f>+D26*(-0.4)</f>
        <v>-76000</v>
      </c>
    </row>
    <row r="28" spans="2:12" x14ac:dyDescent="0.25">
      <c r="B28" s="30" t="s">
        <v>14</v>
      </c>
      <c r="D28" s="32">
        <v>33200</v>
      </c>
    </row>
    <row r="29" spans="2:12" ht="12.6" thickBot="1" x14ac:dyDescent="0.3">
      <c r="B29" s="34" t="s">
        <v>11</v>
      </c>
      <c r="D29" s="32">
        <f>+D28*(-0.1)</f>
        <v>-3320</v>
      </c>
    </row>
    <row r="30" spans="2:12" x14ac:dyDescent="0.25">
      <c r="B30" s="35" t="s">
        <v>15</v>
      </c>
      <c r="C30" s="36"/>
      <c r="D30" s="37">
        <f>SUM(D21:D29)</f>
        <v>1076280</v>
      </c>
      <c r="G30" s="56" t="s">
        <v>30</v>
      </c>
      <c r="H30" s="56"/>
      <c r="L30" s="64"/>
    </row>
    <row r="31" spans="2:12" ht="6" customHeight="1" x14ac:dyDescent="0.25">
      <c r="B31" s="41"/>
      <c r="C31" s="42"/>
      <c r="D31" s="43"/>
    </row>
    <row r="32" spans="2:12" x14ac:dyDescent="0.25">
      <c r="G32" s="30" t="s">
        <v>31</v>
      </c>
      <c r="I32" s="32">
        <v>823000</v>
      </c>
    </row>
    <row r="33" spans="2:12" ht="12.6" thickBot="1" x14ac:dyDescent="0.3">
      <c r="B33" s="31" t="s">
        <v>16</v>
      </c>
      <c r="G33" s="30" t="s">
        <v>32</v>
      </c>
      <c r="I33" s="32">
        <v>112000</v>
      </c>
    </row>
    <row r="34" spans="2:12" x14ac:dyDescent="0.25">
      <c r="G34" s="30" t="s">
        <v>33</v>
      </c>
      <c r="I34" s="32">
        <v>252000</v>
      </c>
    </row>
    <row r="35" spans="2:12" x14ac:dyDescent="0.25">
      <c r="B35" s="30" t="s">
        <v>17</v>
      </c>
      <c r="D35" s="32">
        <v>22000</v>
      </c>
      <c r="G35" s="30" t="s">
        <v>34</v>
      </c>
      <c r="I35" s="32">
        <v>160000</v>
      </c>
    </row>
    <row r="36" spans="2:12" ht="12.6" thickBot="1" x14ac:dyDescent="0.3">
      <c r="B36" s="34" t="s">
        <v>18</v>
      </c>
      <c r="D36" s="32">
        <v>12000</v>
      </c>
      <c r="G36" s="35" t="s">
        <v>35</v>
      </c>
      <c r="H36" s="36"/>
      <c r="I36" s="37">
        <f>SUM(I32:I35)</f>
        <v>1347000</v>
      </c>
      <c r="L36" s="64"/>
    </row>
    <row r="37" spans="2:12" x14ac:dyDescent="0.25">
      <c r="B37" s="35" t="s">
        <v>19</v>
      </c>
      <c r="C37" s="36"/>
      <c r="D37" s="37">
        <f>SUM(D35:D36)</f>
        <v>34000</v>
      </c>
    </row>
    <row r="39" spans="2:12" x14ac:dyDescent="0.25">
      <c r="B39" s="39" t="s">
        <v>20</v>
      </c>
      <c r="D39" s="40">
        <f>+D17+D30+D37</f>
        <v>1585280</v>
      </c>
      <c r="G39" s="39" t="s">
        <v>36</v>
      </c>
      <c r="I39" s="40">
        <f>+I36</f>
        <v>1347000</v>
      </c>
    </row>
    <row r="40" spans="2:12" x14ac:dyDescent="0.25">
      <c r="J40" s="32"/>
    </row>
    <row r="41" spans="2:12" x14ac:dyDescent="0.25">
      <c r="J41" s="32"/>
    </row>
    <row r="42" spans="2:12" x14ac:dyDescent="0.25">
      <c r="G42" s="39" t="s">
        <v>37</v>
      </c>
      <c r="I42" s="40">
        <f>+I39+I26</f>
        <v>1585280</v>
      </c>
    </row>
    <row r="46" spans="2:12" x14ac:dyDescent="0.25">
      <c r="H46" s="32"/>
    </row>
    <row r="47" spans="2:12" x14ac:dyDescent="0.25">
      <c r="B47" s="30" t="s">
        <v>98</v>
      </c>
    </row>
  </sheetData>
  <mergeCells count="6">
    <mergeCell ref="G30:H30"/>
    <mergeCell ref="D3:J3"/>
    <mergeCell ref="B1:C6"/>
    <mergeCell ref="D5:J5"/>
    <mergeCell ref="B8:C8"/>
    <mergeCell ref="G8:H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AF70"/>
  <sheetViews>
    <sheetView showGridLines="0" topLeftCell="A40" zoomScale="90" zoomScaleNormal="90" workbookViewId="0">
      <selection activeCell="B68" sqref="B68"/>
    </sheetView>
  </sheetViews>
  <sheetFormatPr baseColWidth="10" defaultColWidth="11.44140625" defaultRowHeight="13.8" x14ac:dyDescent="0.3"/>
  <cols>
    <col min="1" max="1" width="30" style="4" customWidth="1"/>
    <col min="2" max="2" width="8.88671875" style="4" customWidth="1"/>
    <col min="3" max="3" width="6.88671875" style="4" customWidth="1"/>
    <col min="4" max="4" width="8.88671875" style="4" customWidth="1"/>
    <col min="5" max="5" width="6.77734375" style="4" customWidth="1"/>
    <col min="6" max="6" width="8.88671875" style="4" customWidth="1"/>
    <col min="7" max="7" width="6" style="4" customWidth="1"/>
    <col min="8" max="8" width="8.88671875" style="4" customWidth="1"/>
    <col min="9" max="9" width="6" style="4" customWidth="1"/>
    <col min="10" max="10" width="8.88671875" style="4" customWidth="1"/>
    <col min="11" max="11" width="6" style="4" customWidth="1"/>
    <col min="12" max="12" width="8.88671875" style="4" customWidth="1"/>
    <col min="13" max="13" width="6" style="4" customWidth="1"/>
    <col min="14" max="14" width="8.88671875" style="4" customWidth="1"/>
    <col min="15" max="15" width="6" style="4" customWidth="1"/>
    <col min="16" max="16" width="8.88671875" style="4" customWidth="1"/>
    <col min="17" max="17" width="6" style="4" customWidth="1"/>
    <col min="18" max="18" width="8.88671875" style="4" customWidth="1"/>
    <col min="19" max="19" width="6" style="4" customWidth="1"/>
    <col min="20" max="20" width="8.88671875" style="4" customWidth="1"/>
    <col min="21" max="21" width="6" style="4" customWidth="1"/>
    <col min="22" max="22" width="8.88671875" style="4" customWidth="1"/>
    <col min="23" max="23" width="6" style="4" customWidth="1"/>
    <col min="24" max="24" width="8.88671875" style="4" customWidth="1"/>
    <col min="25" max="25" width="5" style="4" customWidth="1"/>
    <col min="26" max="26" width="9.6640625" style="4" customWidth="1"/>
    <col min="27" max="27" width="6" style="4" customWidth="1"/>
    <col min="28" max="16384" width="11.44140625" style="4"/>
  </cols>
  <sheetData>
    <row r="3" spans="1:32" x14ac:dyDescent="0.3">
      <c r="A3" s="62"/>
    </row>
    <row r="4" spans="1:32" x14ac:dyDescent="0.3">
      <c r="A4" s="62"/>
    </row>
    <row r="5" spans="1:32" x14ac:dyDescent="0.3">
      <c r="A5" s="62"/>
      <c r="B5" s="63" t="s">
        <v>99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5"/>
    </row>
    <row r="6" spans="1:32" x14ac:dyDescent="0.3">
      <c r="A6" s="62"/>
      <c r="B6" s="63" t="s">
        <v>42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5"/>
    </row>
    <row r="7" spans="1:32" x14ac:dyDescent="0.3">
      <c r="A7" s="62"/>
      <c r="B7" s="63" t="s">
        <v>100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5"/>
    </row>
    <row r="8" spans="1:32" x14ac:dyDescent="0.3">
      <c r="F8" s="6" t="s">
        <v>101</v>
      </c>
    </row>
    <row r="9" spans="1:32" x14ac:dyDescent="0.3">
      <c r="B9" s="7" t="s">
        <v>43</v>
      </c>
      <c r="C9" s="7" t="s">
        <v>44</v>
      </c>
      <c r="D9" s="7" t="s">
        <v>45</v>
      </c>
      <c r="E9" s="7" t="s">
        <v>44</v>
      </c>
      <c r="F9" s="7" t="s">
        <v>46</v>
      </c>
      <c r="G9" s="7" t="s">
        <v>44</v>
      </c>
      <c r="H9" s="7" t="s">
        <v>47</v>
      </c>
      <c r="I9" s="7" t="s">
        <v>44</v>
      </c>
      <c r="J9" s="7" t="s">
        <v>48</v>
      </c>
      <c r="K9" s="7" t="s">
        <v>44</v>
      </c>
      <c r="L9" s="7" t="s">
        <v>49</v>
      </c>
      <c r="M9" s="7" t="s">
        <v>44</v>
      </c>
      <c r="N9" s="7" t="s">
        <v>50</v>
      </c>
      <c r="O9" s="7" t="s">
        <v>44</v>
      </c>
      <c r="P9" s="7" t="s">
        <v>51</v>
      </c>
      <c r="Q9" s="7" t="s">
        <v>44</v>
      </c>
      <c r="R9" s="7" t="s">
        <v>52</v>
      </c>
      <c r="S9" s="7" t="s">
        <v>44</v>
      </c>
      <c r="T9" s="7" t="s">
        <v>53</v>
      </c>
      <c r="U9" s="7" t="s">
        <v>44</v>
      </c>
      <c r="V9" s="7" t="s">
        <v>54</v>
      </c>
      <c r="W9" s="7" t="s">
        <v>44</v>
      </c>
      <c r="X9" s="7" t="s">
        <v>55</v>
      </c>
      <c r="Y9" s="7" t="s">
        <v>44</v>
      </c>
      <c r="Z9" s="7" t="s">
        <v>56</v>
      </c>
      <c r="AA9" s="7" t="s">
        <v>44</v>
      </c>
    </row>
    <row r="10" spans="1:32" x14ac:dyDescent="0.3">
      <c r="A10" s="8" t="s">
        <v>57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</row>
    <row r="11" spans="1:32" x14ac:dyDescent="0.3">
      <c r="A11" s="4" t="s">
        <v>58</v>
      </c>
      <c r="B11" s="9">
        <v>850000</v>
      </c>
      <c r="C11" s="9"/>
      <c r="D11" s="9">
        <v>650000</v>
      </c>
      <c r="E11" s="9"/>
      <c r="F11" s="9">
        <v>890000</v>
      </c>
      <c r="G11" s="9"/>
      <c r="H11" s="9">
        <v>450000</v>
      </c>
      <c r="I11" s="9"/>
      <c r="J11" s="9">
        <v>900000</v>
      </c>
      <c r="K11" s="9"/>
      <c r="L11" s="9">
        <v>650000</v>
      </c>
      <c r="M11" s="9"/>
      <c r="N11" s="9">
        <v>950000</v>
      </c>
      <c r="O11" s="9"/>
      <c r="P11" s="9">
        <v>630000</v>
      </c>
      <c r="Q11" s="9"/>
      <c r="R11" s="9">
        <v>490000</v>
      </c>
      <c r="S11" s="9"/>
      <c r="T11" s="9">
        <v>550000</v>
      </c>
      <c r="U11" s="9"/>
      <c r="V11" s="9">
        <v>650000</v>
      </c>
      <c r="W11" s="9"/>
      <c r="X11" s="9">
        <v>990000</v>
      </c>
      <c r="Y11" s="9"/>
      <c r="Z11" s="9">
        <f>+D11+F11+B11+H11+J11+L11+N11+P11+R11+T11+V11+X11</f>
        <v>8650000</v>
      </c>
      <c r="AA11" s="9"/>
      <c r="AB11" s="9"/>
      <c r="AC11" s="9"/>
      <c r="AD11" s="9"/>
      <c r="AE11" s="9"/>
      <c r="AF11" s="10"/>
    </row>
    <row r="12" spans="1:32" x14ac:dyDescent="0.3">
      <c r="A12" s="4" t="s">
        <v>59</v>
      </c>
      <c r="B12" s="4">
        <v>700</v>
      </c>
      <c r="D12" s="4">
        <v>800</v>
      </c>
      <c r="F12" s="4">
        <v>400</v>
      </c>
      <c r="H12" s="4">
        <v>200</v>
      </c>
      <c r="J12" s="4">
        <v>100</v>
      </c>
      <c r="L12" s="4">
        <v>300</v>
      </c>
      <c r="N12" s="4">
        <v>200</v>
      </c>
      <c r="P12" s="4">
        <v>800</v>
      </c>
      <c r="R12" s="4">
        <v>0</v>
      </c>
      <c r="T12" s="4">
        <v>500</v>
      </c>
      <c r="V12" s="4">
        <v>400</v>
      </c>
      <c r="X12" s="4">
        <v>1000</v>
      </c>
      <c r="Y12" s="9"/>
      <c r="Z12" s="9">
        <f t="shared" ref="Z12:Z13" si="0">+D12+F12+B12+H12+J12+L12+N12+P12+R12+T12+V12+X12</f>
        <v>5400</v>
      </c>
      <c r="AA12" s="9"/>
      <c r="AB12" s="9"/>
      <c r="AC12" s="9"/>
      <c r="AD12" s="9"/>
      <c r="AE12" s="9"/>
      <c r="AF12" s="10"/>
    </row>
    <row r="13" spans="1:32" x14ac:dyDescent="0.3">
      <c r="A13" s="4" t="s">
        <v>60</v>
      </c>
      <c r="B13" s="4">
        <v>600</v>
      </c>
      <c r="D13" s="4">
        <v>300</v>
      </c>
      <c r="F13" s="4">
        <v>200</v>
      </c>
      <c r="H13" s="4">
        <v>800</v>
      </c>
      <c r="J13" s="4">
        <v>400</v>
      </c>
      <c r="L13" s="4">
        <v>700</v>
      </c>
      <c r="N13" s="4">
        <v>100</v>
      </c>
      <c r="P13" s="4">
        <v>0</v>
      </c>
      <c r="R13" s="4">
        <v>300</v>
      </c>
      <c r="T13" s="4">
        <v>500</v>
      </c>
      <c r="V13" s="4">
        <v>200</v>
      </c>
      <c r="X13" s="4">
        <v>600</v>
      </c>
      <c r="Y13" s="9"/>
      <c r="Z13" s="9">
        <f t="shared" si="0"/>
        <v>4700</v>
      </c>
      <c r="AA13" s="9"/>
      <c r="AB13" s="9"/>
      <c r="AC13" s="9"/>
      <c r="AD13" s="9"/>
      <c r="AE13" s="9"/>
      <c r="AF13" s="10"/>
    </row>
    <row r="14" spans="1:32" x14ac:dyDescent="0.3">
      <c r="A14" s="7" t="s">
        <v>61</v>
      </c>
      <c r="B14" s="11">
        <f>+SUM(B11:B13)</f>
        <v>851300</v>
      </c>
      <c r="C14" s="11"/>
      <c r="D14" s="11">
        <f t="shared" ref="D14:Z14" si="1">+SUM(D11:D13)</f>
        <v>651100</v>
      </c>
      <c r="E14" s="11"/>
      <c r="F14" s="11">
        <f t="shared" si="1"/>
        <v>890600</v>
      </c>
      <c r="G14" s="11"/>
      <c r="H14" s="11">
        <f t="shared" si="1"/>
        <v>451000</v>
      </c>
      <c r="I14" s="11"/>
      <c r="J14" s="11">
        <f t="shared" si="1"/>
        <v>900500</v>
      </c>
      <c r="K14" s="11"/>
      <c r="L14" s="11">
        <f t="shared" si="1"/>
        <v>651000</v>
      </c>
      <c r="M14" s="11"/>
      <c r="N14" s="11">
        <f t="shared" si="1"/>
        <v>950300</v>
      </c>
      <c r="O14" s="11"/>
      <c r="P14" s="11">
        <f t="shared" si="1"/>
        <v>630800</v>
      </c>
      <c r="Q14" s="11"/>
      <c r="R14" s="11">
        <f t="shared" si="1"/>
        <v>490300</v>
      </c>
      <c r="S14" s="11"/>
      <c r="T14" s="11">
        <f t="shared" si="1"/>
        <v>551000</v>
      </c>
      <c r="U14" s="11"/>
      <c r="V14" s="11">
        <f t="shared" si="1"/>
        <v>650600</v>
      </c>
      <c r="W14" s="11"/>
      <c r="X14" s="11">
        <f t="shared" si="1"/>
        <v>991600</v>
      </c>
      <c r="Y14" s="11"/>
      <c r="Z14" s="11">
        <f t="shared" si="1"/>
        <v>8660100</v>
      </c>
      <c r="AA14" s="11"/>
      <c r="AB14" s="9"/>
      <c r="AC14" s="9"/>
      <c r="AD14" s="9"/>
      <c r="AE14" s="9"/>
      <c r="AF14" s="10"/>
    </row>
    <row r="15" spans="1:32" x14ac:dyDescent="0.3">
      <c r="A15" s="6" t="s">
        <v>62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10"/>
    </row>
    <row r="16" spans="1:32" x14ac:dyDescent="0.3">
      <c r="A16" s="4" t="s">
        <v>102</v>
      </c>
      <c r="B16" s="9">
        <f>B14*0.3</f>
        <v>255390</v>
      </c>
      <c r="C16" s="9"/>
      <c r="D16" s="9">
        <f t="shared" ref="D16" si="2">D14*0.3</f>
        <v>195330</v>
      </c>
      <c r="E16" s="9"/>
      <c r="F16" s="9">
        <f t="shared" ref="F16" si="3">F14*0.3</f>
        <v>267180</v>
      </c>
      <c r="G16" s="9"/>
      <c r="H16" s="9">
        <f t="shared" ref="H16" si="4">H14*0.3</f>
        <v>135300</v>
      </c>
      <c r="I16" s="9"/>
      <c r="J16" s="9">
        <f t="shared" ref="J16" si="5">J14*0.3</f>
        <v>270150</v>
      </c>
      <c r="K16" s="9"/>
      <c r="L16" s="9">
        <f t="shared" ref="L16" si="6">L14*0.3</f>
        <v>195300</v>
      </c>
      <c r="M16" s="9"/>
      <c r="N16" s="9">
        <f t="shared" ref="N16" si="7">N14*0.3</f>
        <v>285090</v>
      </c>
      <c r="O16" s="9"/>
      <c r="P16" s="9">
        <f t="shared" ref="P16" si="8">P14*0.3</f>
        <v>189240</v>
      </c>
      <c r="Q16" s="9"/>
      <c r="R16" s="9">
        <f t="shared" ref="R16" si="9">R14*0.3</f>
        <v>147090</v>
      </c>
      <c r="S16" s="9"/>
      <c r="T16" s="9">
        <f t="shared" ref="T16" si="10">T14*0.3</f>
        <v>165300</v>
      </c>
      <c r="U16" s="9"/>
      <c r="V16" s="9">
        <f t="shared" ref="V16" si="11">V14*0.3</f>
        <v>195180</v>
      </c>
      <c r="W16" s="9"/>
      <c r="X16" s="9">
        <f t="shared" ref="X16" si="12">X14*0.3</f>
        <v>297480</v>
      </c>
      <c r="Y16" s="9"/>
      <c r="Z16" s="9">
        <f>SUM(B16:X16)</f>
        <v>2598030</v>
      </c>
      <c r="AA16" s="9"/>
      <c r="AB16" s="9"/>
      <c r="AC16" s="9"/>
      <c r="AD16" s="9"/>
      <c r="AE16" s="9"/>
      <c r="AF16" s="10"/>
    </row>
    <row r="17" spans="1:32" x14ac:dyDescent="0.3">
      <c r="A17" s="6" t="s">
        <v>103</v>
      </c>
      <c r="B17" s="9">
        <f>B14*0.1</f>
        <v>85130</v>
      </c>
      <c r="C17" s="9"/>
      <c r="D17" s="9">
        <f>D14*0.1</f>
        <v>65110</v>
      </c>
      <c r="E17" s="9"/>
      <c r="F17" s="9">
        <f t="shared" ref="F17" si="13">F14*0.1</f>
        <v>89060</v>
      </c>
      <c r="G17" s="9"/>
      <c r="H17" s="9">
        <f t="shared" ref="H17" si="14">H14*0.1</f>
        <v>45100</v>
      </c>
      <c r="I17" s="9"/>
      <c r="J17" s="9">
        <f t="shared" ref="J17" si="15">J14*0.1</f>
        <v>90050</v>
      </c>
      <c r="K17" s="9"/>
      <c r="L17" s="9">
        <f t="shared" ref="L17" si="16">L14*0.1</f>
        <v>65100</v>
      </c>
      <c r="M17" s="9"/>
      <c r="N17" s="9">
        <f t="shared" ref="N17" si="17">N14*0.1</f>
        <v>95030</v>
      </c>
      <c r="O17" s="9"/>
      <c r="P17" s="9">
        <f t="shared" ref="P17" si="18">P14*0.1</f>
        <v>63080</v>
      </c>
      <c r="Q17" s="9"/>
      <c r="R17" s="9">
        <f t="shared" ref="R17" si="19">R14*0.1</f>
        <v>49030</v>
      </c>
      <c r="S17" s="9"/>
      <c r="T17" s="9">
        <f t="shared" ref="T17" si="20">T14*0.1</f>
        <v>55100</v>
      </c>
      <c r="U17" s="9"/>
      <c r="V17" s="9">
        <f t="shared" ref="V17" si="21">V14*0.1</f>
        <v>65060</v>
      </c>
      <c r="W17" s="9"/>
      <c r="X17" s="9">
        <f t="shared" ref="X17" si="22">X14*0.1</f>
        <v>99160</v>
      </c>
      <c r="Y17" s="9"/>
      <c r="Z17" s="9">
        <f t="shared" ref="Z17:Z18" si="23">SUM(B17:X17)</f>
        <v>866010</v>
      </c>
      <c r="AA17" s="9"/>
      <c r="AB17" s="9"/>
      <c r="AC17" s="9"/>
      <c r="AD17" s="9"/>
      <c r="AE17" s="9"/>
      <c r="AF17" s="10"/>
    </row>
    <row r="18" spans="1:32" x14ac:dyDescent="0.3">
      <c r="A18" s="4" t="s">
        <v>104</v>
      </c>
      <c r="B18" s="9">
        <f>B14*0.1</f>
        <v>85130</v>
      </c>
      <c r="C18" s="9"/>
      <c r="D18" s="9">
        <f t="shared" ref="D18" si="24">D14*0.1</f>
        <v>65110</v>
      </c>
      <c r="E18" s="9"/>
      <c r="F18" s="9">
        <f t="shared" ref="F18" si="25">F14*0.1</f>
        <v>89060</v>
      </c>
      <c r="G18" s="9"/>
      <c r="H18" s="9">
        <f t="shared" ref="H18" si="26">H14*0.1</f>
        <v>45100</v>
      </c>
      <c r="I18" s="9"/>
      <c r="J18" s="9">
        <f t="shared" ref="J18" si="27">J14*0.1</f>
        <v>90050</v>
      </c>
      <c r="K18" s="9"/>
      <c r="L18" s="9">
        <f t="shared" ref="L18" si="28">L14*0.1</f>
        <v>65100</v>
      </c>
      <c r="M18" s="9"/>
      <c r="N18" s="9">
        <f t="shared" ref="N18" si="29">N14*0.1</f>
        <v>95030</v>
      </c>
      <c r="O18" s="9"/>
      <c r="P18" s="9">
        <f t="shared" ref="P18" si="30">P14*0.1</f>
        <v>63080</v>
      </c>
      <c r="Q18" s="9"/>
      <c r="R18" s="9">
        <f t="shared" ref="R18" si="31">R14*0.1</f>
        <v>49030</v>
      </c>
      <c r="S18" s="9"/>
      <c r="T18" s="9">
        <f t="shared" ref="T18" si="32">T14*0.1</f>
        <v>55100</v>
      </c>
      <c r="U18" s="9"/>
      <c r="V18" s="9">
        <f t="shared" ref="V18" si="33">V14*0.1</f>
        <v>65060</v>
      </c>
      <c r="W18" s="9"/>
      <c r="X18" s="9">
        <f t="shared" ref="X18" si="34">X14*0.1</f>
        <v>99160</v>
      </c>
      <c r="Y18" s="9"/>
      <c r="Z18" s="9">
        <f t="shared" si="23"/>
        <v>866010</v>
      </c>
      <c r="AA18" s="9"/>
      <c r="AB18" s="9"/>
      <c r="AC18" s="9"/>
      <c r="AD18" s="9"/>
      <c r="AE18" s="9"/>
      <c r="AF18" s="10"/>
    </row>
    <row r="19" spans="1:32" x14ac:dyDescent="0.3">
      <c r="A19" s="7" t="s">
        <v>63</v>
      </c>
      <c r="B19" s="11">
        <f>SUM(B16:B18)</f>
        <v>425650</v>
      </c>
      <c r="C19" s="12">
        <f>B19/B14</f>
        <v>0.5</v>
      </c>
      <c r="D19" s="11">
        <f t="shared" ref="D19" si="35">SUM(D16:D18)</f>
        <v>325550</v>
      </c>
      <c r="E19" s="12">
        <f t="shared" ref="E19" si="36">D19/D14</f>
        <v>0.5</v>
      </c>
      <c r="F19" s="11">
        <f t="shared" ref="F19" si="37">SUM(F16:F18)</f>
        <v>445300</v>
      </c>
      <c r="G19" s="12">
        <f t="shared" ref="G19" si="38">F19/F14</f>
        <v>0.5</v>
      </c>
      <c r="H19" s="11">
        <f t="shared" ref="H19" si="39">SUM(H16:H18)</f>
        <v>225500</v>
      </c>
      <c r="I19" s="12">
        <f t="shared" ref="I19" si="40">H19/H14</f>
        <v>0.5</v>
      </c>
      <c r="J19" s="11">
        <f t="shared" ref="J19" si="41">SUM(J16:J18)</f>
        <v>450250</v>
      </c>
      <c r="K19" s="12">
        <f t="shared" ref="K19" si="42">J19/J14</f>
        <v>0.5</v>
      </c>
      <c r="L19" s="11">
        <f t="shared" ref="L19" si="43">SUM(L16:L18)</f>
        <v>325500</v>
      </c>
      <c r="M19" s="12">
        <f t="shared" ref="M19" si="44">L19/L14</f>
        <v>0.5</v>
      </c>
      <c r="N19" s="11">
        <f t="shared" ref="N19" si="45">SUM(N16:N18)</f>
        <v>475150</v>
      </c>
      <c r="O19" s="12">
        <f t="shared" ref="O19" si="46">N19/N14</f>
        <v>0.5</v>
      </c>
      <c r="P19" s="11">
        <f t="shared" ref="P19" si="47">SUM(P16:P18)</f>
        <v>315400</v>
      </c>
      <c r="Q19" s="12">
        <f t="shared" ref="Q19" si="48">P19/P14</f>
        <v>0.5</v>
      </c>
      <c r="R19" s="11">
        <f t="shared" ref="R19" si="49">SUM(R16:R18)</f>
        <v>245150</v>
      </c>
      <c r="S19" s="12">
        <f t="shared" ref="S19" si="50">R19/R14</f>
        <v>0.5</v>
      </c>
      <c r="T19" s="11">
        <f t="shared" ref="T19" si="51">SUM(T16:T18)</f>
        <v>275500</v>
      </c>
      <c r="U19" s="12">
        <f t="shared" ref="U19" si="52">T19/T14</f>
        <v>0.5</v>
      </c>
      <c r="V19" s="11">
        <f t="shared" ref="V19" si="53">SUM(V16:V18)</f>
        <v>325300</v>
      </c>
      <c r="W19" s="12">
        <f t="shared" ref="W19" si="54">V19/V14</f>
        <v>0.5</v>
      </c>
      <c r="X19" s="11">
        <f t="shared" ref="X19" si="55">SUM(X16:X18)</f>
        <v>495800</v>
      </c>
      <c r="Y19" s="12">
        <f t="shared" ref="Y19" si="56">X19/X14</f>
        <v>0.5</v>
      </c>
      <c r="Z19" s="11">
        <f t="shared" ref="Z19" si="57">SUM(Z16:Z18)</f>
        <v>4330050</v>
      </c>
      <c r="AA19" s="12">
        <f t="shared" ref="AA19" si="58">Z19/Z14</f>
        <v>0.5</v>
      </c>
      <c r="AB19" s="9"/>
      <c r="AC19" s="9"/>
      <c r="AD19" s="9"/>
      <c r="AE19" s="9"/>
      <c r="AF19" s="10"/>
    </row>
    <row r="20" spans="1:32" x14ac:dyDescent="0.3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10"/>
    </row>
    <row r="21" spans="1:32" x14ac:dyDescent="0.3">
      <c r="A21" s="13" t="s">
        <v>64</v>
      </c>
      <c r="B21" s="14">
        <f>+B14-B19</f>
        <v>425650</v>
      </c>
      <c r="C21" s="15">
        <f>B21/B14</f>
        <v>0.5</v>
      </c>
      <c r="D21" s="14">
        <f>+D14-D19</f>
        <v>325550</v>
      </c>
      <c r="E21" s="15">
        <f>D21/D14</f>
        <v>0.5</v>
      </c>
      <c r="F21" s="14">
        <f>+F14-F19</f>
        <v>445300</v>
      </c>
      <c r="G21" s="15">
        <f>F21/F14</f>
        <v>0.5</v>
      </c>
      <c r="H21" s="14">
        <f>+H14-H19</f>
        <v>225500</v>
      </c>
      <c r="I21" s="15">
        <f>H21/H14</f>
        <v>0.5</v>
      </c>
      <c r="J21" s="14">
        <f>+J14-J19</f>
        <v>450250</v>
      </c>
      <c r="K21" s="15">
        <f>J21/J14</f>
        <v>0.5</v>
      </c>
      <c r="L21" s="14">
        <f>+L14-L19</f>
        <v>325500</v>
      </c>
      <c r="M21" s="15">
        <f>L21/L14</f>
        <v>0.5</v>
      </c>
      <c r="N21" s="14">
        <f>+N14-N19</f>
        <v>475150</v>
      </c>
      <c r="O21" s="15">
        <f>N21/N14</f>
        <v>0.5</v>
      </c>
      <c r="P21" s="14">
        <f>+P14-P19</f>
        <v>315400</v>
      </c>
      <c r="Q21" s="15">
        <f>P21/P14</f>
        <v>0.5</v>
      </c>
      <c r="R21" s="14">
        <f>+R14-R19</f>
        <v>245150</v>
      </c>
      <c r="S21" s="15">
        <f>R21/R14</f>
        <v>0.5</v>
      </c>
      <c r="T21" s="14">
        <f>+T14-T19</f>
        <v>275500</v>
      </c>
      <c r="U21" s="15">
        <f>T21/T14</f>
        <v>0.5</v>
      </c>
      <c r="V21" s="14">
        <f>+V14-V19</f>
        <v>325300</v>
      </c>
      <c r="W21" s="15">
        <f>V21/V14</f>
        <v>0.5</v>
      </c>
      <c r="X21" s="14">
        <f>+X14-X19</f>
        <v>495800</v>
      </c>
      <c r="Y21" s="15">
        <f>X21/X14</f>
        <v>0.5</v>
      </c>
      <c r="Z21" s="14">
        <f>+Z14-Z19</f>
        <v>4330050</v>
      </c>
      <c r="AA21" s="15">
        <f>Z21/Z14</f>
        <v>0.5</v>
      </c>
      <c r="AB21" s="9"/>
      <c r="AC21" s="9"/>
      <c r="AD21" s="9"/>
      <c r="AE21" s="9"/>
      <c r="AF21" s="10"/>
    </row>
    <row r="22" spans="1:32" x14ac:dyDescent="0.3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10"/>
    </row>
    <row r="23" spans="1:32" x14ac:dyDescent="0.3">
      <c r="A23" s="8" t="s">
        <v>65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10"/>
    </row>
    <row r="24" spans="1:32" x14ac:dyDescent="0.3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10"/>
    </row>
    <row r="25" spans="1:32" x14ac:dyDescent="0.3">
      <c r="A25" s="6" t="s">
        <v>66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10"/>
    </row>
    <row r="26" spans="1:32" x14ac:dyDescent="0.3">
      <c r="A26" s="4" t="s">
        <v>67</v>
      </c>
      <c r="B26" s="9">
        <v>89000</v>
      </c>
      <c r="C26" s="9"/>
      <c r="D26" s="9">
        <v>89001</v>
      </c>
      <c r="E26" s="9"/>
      <c r="F26" s="9">
        <v>89002</v>
      </c>
      <c r="G26" s="9"/>
      <c r="H26" s="9">
        <v>89003</v>
      </c>
      <c r="I26" s="9"/>
      <c r="J26" s="9">
        <v>89004</v>
      </c>
      <c r="K26" s="9"/>
      <c r="L26" s="9">
        <v>89005</v>
      </c>
      <c r="M26" s="9"/>
      <c r="N26" s="9">
        <v>89006</v>
      </c>
      <c r="O26" s="9"/>
      <c r="P26" s="9">
        <v>89007</v>
      </c>
      <c r="Q26" s="9"/>
      <c r="R26" s="9">
        <v>89008</v>
      </c>
      <c r="S26" s="9"/>
      <c r="T26" s="9">
        <v>89009</v>
      </c>
      <c r="U26" s="9"/>
      <c r="V26" s="9">
        <v>89010</v>
      </c>
      <c r="W26" s="9"/>
      <c r="X26" s="9">
        <v>89011</v>
      </c>
      <c r="Y26" s="9"/>
      <c r="Z26" s="9">
        <f>+D26+F26+B26+H26+J26+L26+N26+P26+R26+T26+V26+X26</f>
        <v>1068066</v>
      </c>
      <c r="AA26" s="9"/>
      <c r="AB26" s="9"/>
      <c r="AC26" s="9"/>
      <c r="AD26" s="9"/>
      <c r="AE26" s="9"/>
      <c r="AF26" s="10"/>
    </row>
    <row r="27" spans="1:32" x14ac:dyDescent="0.3">
      <c r="A27" s="4" t="s">
        <v>68</v>
      </c>
      <c r="B27" s="9">
        <f>B19*0.03</f>
        <v>12769.5</v>
      </c>
      <c r="C27" s="9"/>
      <c r="D27" s="9">
        <f t="shared" ref="D27" si="59">D19*0.03</f>
        <v>9766.5</v>
      </c>
      <c r="E27" s="9"/>
      <c r="F27" s="9">
        <f t="shared" ref="F27" si="60">F19*0.03</f>
        <v>13359</v>
      </c>
      <c r="G27" s="9"/>
      <c r="H27" s="9">
        <f t="shared" ref="H27" si="61">H19*0.03</f>
        <v>6765</v>
      </c>
      <c r="I27" s="9"/>
      <c r="J27" s="9">
        <f t="shared" ref="J27" si="62">J19*0.03</f>
        <v>13507.5</v>
      </c>
      <c r="K27" s="9"/>
      <c r="L27" s="9">
        <f t="shared" ref="L27" si="63">L19*0.03</f>
        <v>9765</v>
      </c>
      <c r="M27" s="9"/>
      <c r="N27" s="9">
        <f t="shared" ref="N27" si="64">N19*0.03</f>
        <v>14254.5</v>
      </c>
      <c r="O27" s="9"/>
      <c r="P27" s="9">
        <f t="shared" ref="P27" si="65">P19*0.03</f>
        <v>9462</v>
      </c>
      <c r="Q27" s="9"/>
      <c r="R27" s="9">
        <f t="shared" ref="R27" si="66">R19*0.03</f>
        <v>7354.5</v>
      </c>
      <c r="S27" s="9"/>
      <c r="T27" s="9">
        <f t="shared" ref="T27" si="67">T19*0.03</f>
        <v>8265</v>
      </c>
      <c r="U27" s="9"/>
      <c r="V27" s="9">
        <f t="shared" ref="V27" si="68">V19*0.03</f>
        <v>9759</v>
      </c>
      <c r="W27" s="9"/>
      <c r="X27" s="9">
        <f t="shared" ref="X27" si="69">X19*0.03</f>
        <v>14874</v>
      </c>
      <c r="Y27" s="9"/>
      <c r="Z27" s="9">
        <f t="shared" ref="Z27:Z32" si="70">+D27+F27+B27+H27+J27+L27+N27+P27+R27+T27+V27+X27</f>
        <v>129901.5</v>
      </c>
      <c r="AA27" s="9"/>
      <c r="AB27" s="9"/>
      <c r="AC27" s="9"/>
      <c r="AD27" s="9"/>
      <c r="AE27" s="9"/>
      <c r="AF27" s="10"/>
    </row>
    <row r="28" spans="1:32" x14ac:dyDescent="0.3">
      <c r="A28" s="4" t="s">
        <v>69</v>
      </c>
      <c r="B28" s="9">
        <f>B19*0.035</f>
        <v>14897.750000000002</v>
      </c>
      <c r="C28" s="9"/>
      <c r="D28" s="9">
        <f t="shared" ref="D28" si="71">D19*0.035</f>
        <v>11394.250000000002</v>
      </c>
      <c r="E28" s="9"/>
      <c r="F28" s="9">
        <f t="shared" ref="F28" si="72">F19*0.035</f>
        <v>15585.500000000002</v>
      </c>
      <c r="G28" s="9"/>
      <c r="H28" s="9">
        <f t="shared" ref="H28" si="73">H19*0.035</f>
        <v>7892.5000000000009</v>
      </c>
      <c r="I28" s="9"/>
      <c r="J28" s="9">
        <f t="shared" ref="J28" si="74">J19*0.035</f>
        <v>15758.750000000002</v>
      </c>
      <c r="K28" s="9"/>
      <c r="L28" s="9">
        <f t="shared" ref="L28" si="75">L19*0.035</f>
        <v>11392.500000000002</v>
      </c>
      <c r="M28" s="9"/>
      <c r="N28" s="9">
        <f t="shared" ref="N28" si="76">N19*0.035</f>
        <v>16630.25</v>
      </c>
      <c r="O28" s="9"/>
      <c r="P28" s="9">
        <f t="shared" ref="P28" si="77">P19*0.035</f>
        <v>11039.000000000002</v>
      </c>
      <c r="Q28" s="9"/>
      <c r="R28" s="9">
        <f t="shared" ref="R28" si="78">R19*0.035</f>
        <v>8580.25</v>
      </c>
      <c r="S28" s="9"/>
      <c r="T28" s="9">
        <f t="shared" ref="T28" si="79">T19*0.035</f>
        <v>9642.5000000000018</v>
      </c>
      <c r="U28" s="9"/>
      <c r="V28" s="9">
        <f t="shared" ref="V28" si="80">V19*0.035</f>
        <v>11385.500000000002</v>
      </c>
      <c r="W28" s="9"/>
      <c r="X28" s="9">
        <f t="shared" ref="X28" si="81">X19*0.035</f>
        <v>17353</v>
      </c>
      <c r="Y28" s="9"/>
      <c r="Z28" s="9">
        <f t="shared" si="70"/>
        <v>151551.75000000003</v>
      </c>
      <c r="AA28" s="9"/>
      <c r="AB28" s="9"/>
      <c r="AC28" s="9"/>
      <c r="AD28" s="9"/>
      <c r="AE28" s="9"/>
      <c r="AF28" s="10"/>
    </row>
    <row r="29" spans="1:32" x14ac:dyDescent="0.3">
      <c r="A29" s="4" t="s">
        <v>70</v>
      </c>
      <c r="B29" s="9">
        <v>25000</v>
      </c>
      <c r="C29" s="9"/>
      <c r="D29" s="9">
        <v>25000</v>
      </c>
      <c r="E29" s="9"/>
      <c r="F29" s="9">
        <v>25000</v>
      </c>
      <c r="G29" s="9"/>
      <c r="H29" s="9">
        <v>25000</v>
      </c>
      <c r="I29" s="9"/>
      <c r="J29" s="9">
        <v>25000</v>
      </c>
      <c r="K29" s="9"/>
      <c r="L29" s="9">
        <v>25000</v>
      </c>
      <c r="M29" s="9"/>
      <c r="N29" s="9">
        <v>25000</v>
      </c>
      <c r="O29" s="9"/>
      <c r="P29" s="9">
        <v>25000</v>
      </c>
      <c r="Q29" s="9"/>
      <c r="R29" s="9">
        <v>25000</v>
      </c>
      <c r="S29" s="9"/>
      <c r="T29" s="9">
        <v>25000</v>
      </c>
      <c r="U29" s="9"/>
      <c r="V29" s="9">
        <v>25000</v>
      </c>
      <c r="W29" s="9"/>
      <c r="X29" s="9">
        <v>25000</v>
      </c>
      <c r="Y29" s="9"/>
      <c r="Z29" s="9">
        <f t="shared" si="70"/>
        <v>300000</v>
      </c>
      <c r="AA29" s="9"/>
      <c r="AB29" s="9"/>
      <c r="AC29" s="9"/>
      <c r="AD29" s="9"/>
      <c r="AE29" s="9"/>
      <c r="AF29" s="10"/>
    </row>
    <row r="30" spans="1:32" x14ac:dyDescent="0.3">
      <c r="A30" s="4" t="s">
        <v>71</v>
      </c>
      <c r="B30" s="9">
        <v>40000</v>
      </c>
      <c r="C30" s="9"/>
      <c r="D30" s="9">
        <v>40000</v>
      </c>
      <c r="E30" s="9"/>
      <c r="F30" s="9">
        <v>40000</v>
      </c>
      <c r="G30" s="9"/>
      <c r="H30" s="9">
        <v>40000</v>
      </c>
      <c r="I30" s="9"/>
      <c r="J30" s="9">
        <v>40000</v>
      </c>
      <c r="K30" s="9"/>
      <c r="L30" s="9">
        <v>40000</v>
      </c>
      <c r="M30" s="9"/>
      <c r="N30" s="9">
        <v>40000</v>
      </c>
      <c r="O30" s="9"/>
      <c r="P30" s="9">
        <v>40000</v>
      </c>
      <c r="Q30" s="9"/>
      <c r="R30" s="9">
        <v>40000</v>
      </c>
      <c r="S30" s="9"/>
      <c r="T30" s="9">
        <v>40000</v>
      </c>
      <c r="U30" s="9"/>
      <c r="V30" s="9">
        <v>40000</v>
      </c>
      <c r="W30" s="9"/>
      <c r="X30" s="9">
        <v>40000</v>
      </c>
      <c r="Y30" s="9"/>
      <c r="Z30" s="9">
        <f t="shared" si="70"/>
        <v>480000</v>
      </c>
      <c r="AA30" s="9"/>
      <c r="AB30" s="9"/>
      <c r="AC30" s="9"/>
      <c r="AD30" s="9"/>
      <c r="AE30" s="9"/>
      <c r="AF30" s="10"/>
    </row>
    <row r="31" spans="1:32" x14ac:dyDescent="0.3">
      <c r="A31" s="4" t="s">
        <v>72</v>
      </c>
      <c r="B31" s="9">
        <v>22000</v>
      </c>
      <c r="C31" s="9"/>
      <c r="D31" s="9">
        <v>22000</v>
      </c>
      <c r="E31" s="9"/>
      <c r="F31" s="9">
        <v>22000</v>
      </c>
      <c r="G31" s="9"/>
      <c r="H31" s="9">
        <v>22000</v>
      </c>
      <c r="I31" s="9"/>
      <c r="J31" s="9">
        <v>22000</v>
      </c>
      <c r="K31" s="9"/>
      <c r="L31" s="9">
        <v>22000</v>
      </c>
      <c r="M31" s="9"/>
      <c r="N31" s="9">
        <v>22000</v>
      </c>
      <c r="O31" s="9"/>
      <c r="P31" s="9">
        <v>22000</v>
      </c>
      <c r="Q31" s="9"/>
      <c r="R31" s="9">
        <v>22000</v>
      </c>
      <c r="S31" s="9"/>
      <c r="T31" s="9">
        <v>22000</v>
      </c>
      <c r="U31" s="9"/>
      <c r="V31" s="9">
        <v>22000</v>
      </c>
      <c r="W31" s="9"/>
      <c r="X31" s="9">
        <v>22000</v>
      </c>
      <c r="Y31" s="9"/>
      <c r="Z31" s="9">
        <f t="shared" si="70"/>
        <v>264000</v>
      </c>
      <c r="AA31" s="9"/>
      <c r="AB31" s="9"/>
      <c r="AC31" s="9"/>
      <c r="AD31" s="9"/>
      <c r="AE31" s="9"/>
      <c r="AF31" s="10"/>
    </row>
    <row r="32" spans="1:32" x14ac:dyDescent="0.3">
      <c r="A32" s="4" t="s">
        <v>73</v>
      </c>
      <c r="B32" s="9">
        <v>8000</v>
      </c>
      <c r="C32" s="9"/>
      <c r="D32" s="9">
        <v>8000</v>
      </c>
      <c r="E32" s="9"/>
      <c r="F32" s="9">
        <v>8000</v>
      </c>
      <c r="G32" s="9"/>
      <c r="H32" s="9">
        <v>8000</v>
      </c>
      <c r="I32" s="9"/>
      <c r="J32" s="9">
        <v>8000</v>
      </c>
      <c r="K32" s="9"/>
      <c r="L32" s="9">
        <v>8000</v>
      </c>
      <c r="M32" s="9"/>
      <c r="N32" s="9">
        <v>8000</v>
      </c>
      <c r="O32" s="9"/>
      <c r="P32" s="9">
        <v>8000</v>
      </c>
      <c r="Q32" s="9"/>
      <c r="R32" s="9">
        <v>8000</v>
      </c>
      <c r="S32" s="9"/>
      <c r="T32" s="9">
        <v>8000</v>
      </c>
      <c r="U32" s="9"/>
      <c r="V32" s="9">
        <v>8000</v>
      </c>
      <c r="W32" s="9"/>
      <c r="X32" s="9">
        <v>8000</v>
      </c>
      <c r="Y32" s="9"/>
      <c r="Z32" s="9">
        <f t="shared" si="70"/>
        <v>96000</v>
      </c>
      <c r="AA32" s="9"/>
      <c r="AB32" s="9"/>
      <c r="AC32" s="9"/>
      <c r="AD32" s="9"/>
      <c r="AE32" s="9"/>
      <c r="AF32" s="10"/>
    </row>
    <row r="33" spans="1:32" x14ac:dyDescent="0.3">
      <c r="A33" s="7" t="s">
        <v>74</v>
      </c>
      <c r="B33" s="11">
        <f>+SUM(B26:B32)</f>
        <v>211667.25</v>
      </c>
      <c r="C33" s="12">
        <f>+B33/B14</f>
        <v>0.2486400211441325</v>
      </c>
      <c r="D33" s="11">
        <f t="shared" ref="D33" si="82">+SUM(D26:D32)</f>
        <v>205161.75</v>
      </c>
      <c r="E33" s="12">
        <f t="shared" ref="E33" si="83">+D33/D14</f>
        <v>0.31510021502073415</v>
      </c>
      <c r="F33" s="11">
        <f t="shared" ref="F33" si="84">+SUM(F26:F32)</f>
        <v>212946.5</v>
      </c>
      <c r="G33" s="12">
        <f t="shared" ref="G33" si="85">+F33/F14</f>
        <v>0.23910453626768471</v>
      </c>
      <c r="H33" s="11">
        <f t="shared" ref="H33" si="86">+SUM(H26:H32)</f>
        <v>198660.5</v>
      </c>
      <c r="I33" s="12">
        <f t="shared" ref="I33" si="87">+H33/H14</f>
        <v>0.4404889135254989</v>
      </c>
      <c r="J33" s="11">
        <f t="shared" ref="J33" si="88">+SUM(J26:J32)</f>
        <v>213270.25</v>
      </c>
      <c r="K33" s="12">
        <f t="shared" ref="K33" si="89">+J33/J14</f>
        <v>0.23683536923931151</v>
      </c>
      <c r="L33" s="11">
        <f t="shared" ref="L33" si="90">+SUM(L26:L32)</f>
        <v>205162.5</v>
      </c>
      <c r="M33" s="12">
        <f t="shared" ref="M33" si="91">+L33/L14</f>
        <v>0.31514976958525348</v>
      </c>
      <c r="N33" s="11">
        <f t="shared" ref="N33" si="92">+SUM(N26:N32)</f>
        <v>214890.75</v>
      </c>
      <c r="O33" s="12">
        <f t="shared" ref="O33" si="93">+N33/N14</f>
        <v>0.22612938019572768</v>
      </c>
      <c r="P33" s="11">
        <f t="shared" ref="P33" si="94">+SUM(P26:P32)</f>
        <v>204508</v>
      </c>
      <c r="Q33" s="12">
        <f t="shared" ref="Q33" si="95">+P33/P14</f>
        <v>0.32420418516169941</v>
      </c>
      <c r="R33" s="11">
        <f t="shared" ref="R33" si="96">+SUM(R26:R32)</f>
        <v>199942.75</v>
      </c>
      <c r="S33" s="12">
        <f t="shared" ref="S33" si="97">+R33/R14</f>
        <v>0.40779675708749746</v>
      </c>
      <c r="T33" s="11">
        <f t="shared" ref="T33" si="98">+SUM(T26:T32)</f>
        <v>201916.5</v>
      </c>
      <c r="U33" s="12">
        <f t="shared" ref="U33" si="99">+T33/T14</f>
        <v>0.36645462794918332</v>
      </c>
      <c r="V33" s="11">
        <f t="shared" ref="V33" si="100">+SUM(V26:V32)</f>
        <v>205154.5</v>
      </c>
      <c r="W33" s="12">
        <f t="shared" ref="W33" si="101">+V33/V14</f>
        <v>0.31533123270826929</v>
      </c>
      <c r="X33" s="11">
        <f t="shared" ref="X33" si="102">+SUM(X26:X32)</f>
        <v>216238</v>
      </c>
      <c r="Y33" s="12">
        <f t="shared" ref="Y33" si="103">+X33/X14</f>
        <v>0.21806978620411457</v>
      </c>
      <c r="Z33" s="11">
        <f t="shared" ref="Z33" si="104">+SUM(Z25:Z32)</f>
        <v>2489519.25</v>
      </c>
      <c r="AA33" s="12">
        <f>+Z33/Z14</f>
        <v>0.28747003498804863</v>
      </c>
      <c r="AB33" s="9"/>
      <c r="AC33" s="9"/>
      <c r="AD33" s="9"/>
      <c r="AE33" s="9"/>
      <c r="AF33" s="10"/>
    </row>
    <row r="34" spans="1:32" x14ac:dyDescent="0.3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10"/>
    </row>
    <row r="35" spans="1:32" x14ac:dyDescent="0.3">
      <c r="A35" s="6" t="s">
        <v>75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10"/>
    </row>
    <row r="36" spans="1:32" x14ac:dyDescent="0.3">
      <c r="A36" s="4" t="s">
        <v>67</v>
      </c>
      <c r="B36" s="9">
        <v>10000</v>
      </c>
      <c r="C36" s="9"/>
      <c r="D36" s="9">
        <v>10001</v>
      </c>
      <c r="E36" s="9"/>
      <c r="F36" s="9">
        <v>10002</v>
      </c>
      <c r="G36" s="9"/>
      <c r="H36" s="9">
        <v>10003</v>
      </c>
      <c r="I36" s="9"/>
      <c r="J36" s="9">
        <v>10004</v>
      </c>
      <c r="K36" s="9"/>
      <c r="L36" s="9">
        <v>10005</v>
      </c>
      <c r="M36" s="9"/>
      <c r="N36" s="9">
        <v>10006</v>
      </c>
      <c r="O36" s="9"/>
      <c r="P36" s="9">
        <v>10007</v>
      </c>
      <c r="Q36" s="9"/>
      <c r="R36" s="9">
        <v>10008</v>
      </c>
      <c r="S36" s="9"/>
      <c r="T36" s="9">
        <v>10009</v>
      </c>
      <c r="U36" s="9"/>
      <c r="V36" s="9">
        <v>10010</v>
      </c>
      <c r="W36" s="9"/>
      <c r="X36" s="9">
        <v>10011</v>
      </c>
      <c r="Y36" s="9"/>
      <c r="Z36" s="9">
        <f t="shared" ref="Z36:Z49" si="105">+D36+F36+B36+H36+J36+L36+N36+P36+R36+T36+V36+X36</f>
        <v>120066</v>
      </c>
      <c r="AA36" s="9"/>
      <c r="AB36" s="9"/>
      <c r="AC36" s="9"/>
      <c r="AD36" s="9"/>
      <c r="AE36" s="9"/>
      <c r="AF36" s="10"/>
    </row>
    <row r="37" spans="1:32" x14ac:dyDescent="0.3">
      <c r="A37" s="4" t="s">
        <v>76</v>
      </c>
      <c r="B37" s="9">
        <f>B14*0.01</f>
        <v>8513</v>
      </c>
      <c r="C37" s="9"/>
      <c r="D37" s="9">
        <f t="shared" ref="D37" si="106">D14*0.01</f>
        <v>6511</v>
      </c>
      <c r="E37" s="9"/>
      <c r="F37" s="9">
        <f t="shared" ref="F37" si="107">F14*0.01</f>
        <v>8906</v>
      </c>
      <c r="G37" s="9"/>
      <c r="H37" s="9">
        <f t="shared" ref="H37" si="108">H14*0.01</f>
        <v>4510</v>
      </c>
      <c r="I37" s="9"/>
      <c r="J37" s="9">
        <f t="shared" ref="J37" si="109">J14*0.01</f>
        <v>9005</v>
      </c>
      <c r="K37" s="9"/>
      <c r="L37" s="9">
        <f t="shared" ref="L37" si="110">L14*0.01</f>
        <v>6510</v>
      </c>
      <c r="M37" s="9"/>
      <c r="N37" s="9">
        <f t="shared" ref="N37" si="111">N14*0.01</f>
        <v>9503</v>
      </c>
      <c r="O37" s="9"/>
      <c r="P37" s="9">
        <f t="shared" ref="P37" si="112">P14*0.01</f>
        <v>6308</v>
      </c>
      <c r="Q37" s="9"/>
      <c r="R37" s="9">
        <f t="shared" ref="R37" si="113">R14*0.01</f>
        <v>4903</v>
      </c>
      <c r="S37" s="9"/>
      <c r="T37" s="9">
        <f t="shared" ref="T37" si="114">T14*0.01</f>
        <v>5510</v>
      </c>
      <c r="U37" s="9"/>
      <c r="V37" s="9">
        <f t="shared" ref="V37" si="115">V14*0.01</f>
        <v>6506</v>
      </c>
      <c r="W37" s="9"/>
      <c r="X37" s="9">
        <f t="shared" ref="X37" si="116">X14*0.01</f>
        <v>9916</v>
      </c>
      <c r="Y37" s="9"/>
      <c r="Z37" s="9">
        <f t="shared" si="105"/>
        <v>86601</v>
      </c>
      <c r="AA37" s="9"/>
      <c r="AB37" s="9"/>
      <c r="AC37" s="9"/>
      <c r="AD37" s="9"/>
      <c r="AE37" s="9"/>
      <c r="AF37" s="10"/>
    </row>
    <row r="38" spans="1:32" x14ac:dyDescent="0.3">
      <c r="A38" s="4" t="s">
        <v>77</v>
      </c>
      <c r="B38" s="9">
        <f>(B36+B26+B17)*0.02</f>
        <v>3682.6</v>
      </c>
      <c r="C38" s="9"/>
      <c r="D38" s="9">
        <f t="shared" ref="D38" si="117">(D36+D26+D17)*0.02</f>
        <v>3282.2400000000002</v>
      </c>
      <c r="E38" s="9"/>
      <c r="F38" s="9">
        <f t="shared" ref="F38" si="118">(F36+F26+F17)*0.02</f>
        <v>3761.28</v>
      </c>
      <c r="G38" s="9"/>
      <c r="H38" s="9">
        <f t="shared" ref="H38" si="119">(H36+H26+H17)*0.02</f>
        <v>2882.12</v>
      </c>
      <c r="I38" s="9"/>
      <c r="J38" s="9">
        <f t="shared" ref="J38" si="120">(J36+J26+J17)*0.02</f>
        <v>3781.16</v>
      </c>
      <c r="K38" s="9"/>
      <c r="L38" s="9">
        <f t="shared" ref="L38" si="121">(L36+L26+L17)*0.02</f>
        <v>3282.2000000000003</v>
      </c>
      <c r="M38" s="9"/>
      <c r="N38" s="9">
        <f t="shared" ref="N38" si="122">(N36+N26+N17)*0.02</f>
        <v>3880.84</v>
      </c>
      <c r="O38" s="9"/>
      <c r="P38" s="9">
        <f t="shared" ref="P38" si="123">(P36+P26+P17)*0.02</f>
        <v>3241.88</v>
      </c>
      <c r="Q38" s="9"/>
      <c r="R38" s="9">
        <f t="shared" ref="R38" si="124">(R36+R26+R17)*0.02</f>
        <v>2960.92</v>
      </c>
      <c r="S38" s="9"/>
      <c r="T38" s="9">
        <f t="shared" ref="T38" si="125">(T36+T26+T17)*0.02</f>
        <v>3082.36</v>
      </c>
      <c r="U38" s="9"/>
      <c r="V38" s="9">
        <f t="shared" ref="V38" si="126">(V36+V26+V17)*0.02</f>
        <v>3281.6</v>
      </c>
      <c r="W38" s="9"/>
      <c r="X38" s="9">
        <f t="shared" ref="X38" si="127">(X36+X26+X17)*0.02</f>
        <v>3963.64</v>
      </c>
      <c r="Y38" s="9"/>
      <c r="Z38" s="9">
        <f t="shared" si="105"/>
        <v>41082.840000000004</v>
      </c>
      <c r="AA38" s="9"/>
      <c r="AB38" s="9"/>
      <c r="AC38" s="9"/>
      <c r="AD38" s="9"/>
      <c r="AE38" s="9"/>
      <c r="AF38" s="10"/>
    </row>
    <row r="39" spans="1:32" x14ac:dyDescent="0.3">
      <c r="A39" s="4" t="s">
        <v>78</v>
      </c>
      <c r="B39" s="9">
        <v>5000</v>
      </c>
      <c r="C39" s="9"/>
      <c r="D39" s="9">
        <v>5000</v>
      </c>
      <c r="E39" s="9"/>
      <c r="F39" s="9">
        <v>5000</v>
      </c>
      <c r="G39" s="9"/>
      <c r="H39" s="9">
        <v>5000</v>
      </c>
      <c r="I39" s="9"/>
      <c r="J39" s="9">
        <v>5000</v>
      </c>
      <c r="K39" s="9"/>
      <c r="L39" s="9">
        <v>5000</v>
      </c>
      <c r="M39" s="9"/>
      <c r="N39" s="9">
        <v>5000</v>
      </c>
      <c r="O39" s="9"/>
      <c r="P39" s="9">
        <v>5000</v>
      </c>
      <c r="Q39" s="9"/>
      <c r="R39" s="9">
        <v>5000</v>
      </c>
      <c r="S39" s="9"/>
      <c r="T39" s="9">
        <v>5000</v>
      </c>
      <c r="U39" s="9"/>
      <c r="V39" s="9">
        <v>5000</v>
      </c>
      <c r="W39" s="9"/>
      <c r="X39" s="9">
        <v>5000</v>
      </c>
      <c r="Y39" s="9"/>
      <c r="Z39" s="9">
        <f t="shared" si="105"/>
        <v>60000</v>
      </c>
      <c r="AA39" s="9"/>
      <c r="AB39" s="9"/>
      <c r="AC39" s="9"/>
      <c r="AD39" s="9"/>
      <c r="AE39" s="9"/>
      <c r="AF39" s="10"/>
    </row>
    <row r="40" spans="1:32" x14ac:dyDescent="0.3">
      <c r="A40" s="4" t="s">
        <v>105</v>
      </c>
      <c r="B40" s="9">
        <v>10000</v>
      </c>
      <c r="C40" s="9"/>
      <c r="D40" s="9">
        <v>10000</v>
      </c>
      <c r="E40" s="9"/>
      <c r="F40" s="9">
        <v>10000</v>
      </c>
      <c r="G40" s="9"/>
      <c r="H40" s="9">
        <v>10000</v>
      </c>
      <c r="I40" s="9"/>
      <c r="J40" s="9">
        <v>10000</v>
      </c>
      <c r="K40" s="9"/>
      <c r="L40" s="9">
        <v>10000</v>
      </c>
      <c r="M40" s="9"/>
      <c r="N40" s="9">
        <v>10000</v>
      </c>
      <c r="O40" s="9"/>
      <c r="P40" s="9">
        <v>10000</v>
      </c>
      <c r="Q40" s="9"/>
      <c r="R40" s="9">
        <v>10000</v>
      </c>
      <c r="S40" s="9"/>
      <c r="T40" s="9">
        <v>10000</v>
      </c>
      <c r="U40" s="9"/>
      <c r="V40" s="9">
        <v>10000</v>
      </c>
      <c r="W40" s="9"/>
      <c r="X40" s="9">
        <v>10000</v>
      </c>
      <c r="Y40" s="9"/>
      <c r="Z40" s="9">
        <f t="shared" si="105"/>
        <v>120000</v>
      </c>
      <c r="AA40" s="9"/>
      <c r="AB40" s="9"/>
      <c r="AC40" s="9"/>
      <c r="AD40" s="9"/>
      <c r="AE40" s="9"/>
      <c r="AF40" s="10"/>
    </row>
    <row r="41" spans="1:32" x14ac:dyDescent="0.3">
      <c r="A41" s="4" t="s">
        <v>79</v>
      </c>
      <c r="B41" s="9">
        <v>8000</v>
      </c>
      <c r="C41" s="9"/>
      <c r="D41" s="9">
        <v>8000</v>
      </c>
      <c r="E41" s="9"/>
      <c r="F41" s="9">
        <v>8000</v>
      </c>
      <c r="G41" s="9"/>
      <c r="H41" s="9">
        <v>8000</v>
      </c>
      <c r="I41" s="9"/>
      <c r="J41" s="9">
        <v>8000</v>
      </c>
      <c r="K41" s="9"/>
      <c r="L41" s="9">
        <v>8000</v>
      </c>
      <c r="M41" s="9"/>
      <c r="N41" s="9">
        <v>8000</v>
      </c>
      <c r="O41" s="9"/>
      <c r="P41" s="9">
        <v>8000</v>
      </c>
      <c r="Q41" s="9"/>
      <c r="R41" s="9">
        <v>8000</v>
      </c>
      <c r="S41" s="9"/>
      <c r="T41" s="9">
        <v>8000</v>
      </c>
      <c r="U41" s="9"/>
      <c r="V41" s="9">
        <v>8000</v>
      </c>
      <c r="W41" s="9"/>
      <c r="X41" s="9">
        <v>8000</v>
      </c>
      <c r="Y41" s="9"/>
      <c r="Z41" s="9">
        <f t="shared" si="105"/>
        <v>96000</v>
      </c>
      <c r="AA41" s="9"/>
      <c r="AB41" s="9"/>
      <c r="AC41" s="9"/>
      <c r="AD41" s="9"/>
      <c r="AE41" s="9"/>
      <c r="AF41" s="10"/>
    </row>
    <row r="42" spans="1:32" x14ac:dyDescent="0.3">
      <c r="A42" s="4" t="s">
        <v>80</v>
      </c>
      <c r="B42" s="9">
        <v>3000</v>
      </c>
      <c r="C42" s="9"/>
      <c r="D42" s="9">
        <v>3000</v>
      </c>
      <c r="E42" s="9"/>
      <c r="F42" s="9">
        <v>3000</v>
      </c>
      <c r="G42" s="9"/>
      <c r="H42" s="9">
        <v>3000</v>
      </c>
      <c r="I42" s="9"/>
      <c r="J42" s="9">
        <v>3000</v>
      </c>
      <c r="K42" s="9"/>
      <c r="L42" s="9">
        <v>3000</v>
      </c>
      <c r="M42" s="9"/>
      <c r="N42" s="9">
        <v>3000</v>
      </c>
      <c r="O42" s="9"/>
      <c r="P42" s="9">
        <v>3000</v>
      </c>
      <c r="Q42" s="9"/>
      <c r="R42" s="9">
        <v>3000</v>
      </c>
      <c r="S42" s="9"/>
      <c r="T42" s="9">
        <v>3000</v>
      </c>
      <c r="U42" s="9"/>
      <c r="V42" s="9">
        <v>3000</v>
      </c>
      <c r="W42" s="9"/>
      <c r="X42" s="9">
        <v>3000</v>
      </c>
      <c r="Y42" s="9"/>
      <c r="Z42" s="9">
        <f t="shared" si="105"/>
        <v>36000</v>
      </c>
      <c r="AA42" s="9"/>
      <c r="AB42" s="9"/>
      <c r="AC42" s="9"/>
      <c r="AD42" s="9"/>
      <c r="AE42" s="9"/>
      <c r="AF42" s="10"/>
    </row>
    <row r="43" spans="1:32" x14ac:dyDescent="0.3">
      <c r="A43" s="4" t="s">
        <v>81</v>
      </c>
      <c r="B43" s="9">
        <v>2000</v>
      </c>
      <c r="C43" s="9"/>
      <c r="D43" s="9">
        <v>2000</v>
      </c>
      <c r="E43" s="9"/>
      <c r="F43" s="9">
        <v>2000</v>
      </c>
      <c r="G43" s="9"/>
      <c r="H43" s="9">
        <v>2000</v>
      </c>
      <c r="I43" s="9"/>
      <c r="J43" s="9">
        <v>2000</v>
      </c>
      <c r="K43" s="9"/>
      <c r="L43" s="9">
        <v>2000</v>
      </c>
      <c r="M43" s="9"/>
      <c r="N43" s="9">
        <v>2000</v>
      </c>
      <c r="O43" s="9"/>
      <c r="P43" s="9">
        <v>2000</v>
      </c>
      <c r="Q43" s="9"/>
      <c r="R43" s="9">
        <v>2000</v>
      </c>
      <c r="S43" s="9"/>
      <c r="T43" s="9">
        <v>2000</v>
      </c>
      <c r="U43" s="9"/>
      <c r="V43" s="9">
        <v>2000</v>
      </c>
      <c r="W43" s="9"/>
      <c r="X43" s="9">
        <v>2000</v>
      </c>
      <c r="Y43" s="9"/>
      <c r="Z43" s="9">
        <f t="shared" si="105"/>
        <v>24000</v>
      </c>
      <c r="AA43" s="9"/>
      <c r="AB43" s="9"/>
      <c r="AC43" s="9"/>
      <c r="AD43" s="9"/>
      <c r="AE43" s="9"/>
      <c r="AF43" s="10"/>
    </row>
    <row r="44" spans="1:32" x14ac:dyDescent="0.3">
      <c r="A44" s="4" t="s">
        <v>82</v>
      </c>
      <c r="B44" s="9">
        <v>9000</v>
      </c>
      <c r="C44" s="9"/>
      <c r="D44" s="9">
        <v>9000</v>
      </c>
      <c r="E44" s="9"/>
      <c r="F44" s="9">
        <v>9000</v>
      </c>
      <c r="G44" s="9"/>
      <c r="H44" s="9">
        <v>9000</v>
      </c>
      <c r="I44" s="9"/>
      <c r="J44" s="9">
        <v>9000</v>
      </c>
      <c r="K44" s="9"/>
      <c r="L44" s="9">
        <v>9000</v>
      </c>
      <c r="M44" s="9"/>
      <c r="N44" s="9">
        <v>9000</v>
      </c>
      <c r="O44" s="9"/>
      <c r="P44" s="9">
        <v>9000</v>
      </c>
      <c r="Q44" s="9"/>
      <c r="R44" s="9">
        <v>9000</v>
      </c>
      <c r="S44" s="9"/>
      <c r="T44" s="9">
        <v>9000</v>
      </c>
      <c r="U44" s="9"/>
      <c r="V44" s="9">
        <v>9000</v>
      </c>
      <c r="W44" s="9"/>
      <c r="X44" s="9">
        <v>9000</v>
      </c>
      <c r="Y44" s="9"/>
      <c r="Z44" s="9">
        <f t="shared" si="105"/>
        <v>108000</v>
      </c>
      <c r="AA44" s="9"/>
      <c r="AB44" s="9"/>
      <c r="AC44" s="9"/>
      <c r="AD44" s="9"/>
      <c r="AE44" s="9"/>
      <c r="AF44" s="10"/>
    </row>
    <row r="45" spans="1:32" x14ac:dyDescent="0.3">
      <c r="A45" s="4" t="s">
        <v>83</v>
      </c>
      <c r="B45" s="9">
        <v>4000</v>
      </c>
      <c r="C45" s="9"/>
      <c r="D45" s="9">
        <v>2000</v>
      </c>
      <c r="E45" s="9"/>
      <c r="F45" s="9">
        <v>4000</v>
      </c>
      <c r="G45" s="9"/>
      <c r="H45" s="9">
        <v>1000</v>
      </c>
      <c r="I45" s="9"/>
      <c r="J45" s="9">
        <v>4000</v>
      </c>
      <c r="K45" s="9"/>
      <c r="L45" s="9">
        <v>1500</v>
      </c>
      <c r="M45" s="9"/>
      <c r="N45" s="9">
        <v>2000</v>
      </c>
      <c r="O45" s="9"/>
      <c r="P45" s="9">
        <v>4000</v>
      </c>
      <c r="Q45" s="9"/>
      <c r="R45" s="9">
        <v>1000</v>
      </c>
      <c r="S45" s="9"/>
      <c r="T45" s="9">
        <v>4000</v>
      </c>
      <c r="U45" s="9"/>
      <c r="V45" s="9">
        <v>1000</v>
      </c>
      <c r="W45" s="9"/>
      <c r="X45" s="9">
        <v>4000</v>
      </c>
      <c r="Y45" s="9"/>
      <c r="Z45" s="9">
        <f t="shared" si="105"/>
        <v>32500</v>
      </c>
      <c r="AA45" s="9"/>
      <c r="AB45" s="9"/>
      <c r="AC45" s="9"/>
      <c r="AD45" s="9"/>
      <c r="AE45" s="9"/>
      <c r="AF45" s="10"/>
    </row>
    <row r="46" spans="1:32" x14ac:dyDescent="0.3">
      <c r="A46" s="4" t="s">
        <v>84</v>
      </c>
      <c r="B46" s="9">
        <v>3000</v>
      </c>
      <c r="C46" s="9"/>
      <c r="D46" s="9">
        <v>3000</v>
      </c>
      <c r="E46" s="9"/>
      <c r="F46" s="9">
        <v>3000</v>
      </c>
      <c r="G46" s="9"/>
      <c r="H46" s="9">
        <v>3000</v>
      </c>
      <c r="I46" s="9"/>
      <c r="J46" s="9">
        <v>3000</v>
      </c>
      <c r="K46" s="9"/>
      <c r="L46" s="9">
        <v>3000</v>
      </c>
      <c r="M46" s="9"/>
      <c r="N46" s="9">
        <v>3000</v>
      </c>
      <c r="O46" s="9"/>
      <c r="P46" s="9">
        <v>3000</v>
      </c>
      <c r="Q46" s="9"/>
      <c r="R46" s="9">
        <v>3000</v>
      </c>
      <c r="S46" s="9"/>
      <c r="T46" s="9">
        <v>3000</v>
      </c>
      <c r="U46" s="9"/>
      <c r="V46" s="9">
        <v>3000</v>
      </c>
      <c r="W46" s="9"/>
      <c r="X46" s="9">
        <v>3000</v>
      </c>
      <c r="Y46" s="9"/>
      <c r="Z46" s="9">
        <f t="shared" si="105"/>
        <v>36000</v>
      </c>
      <c r="AA46" s="9"/>
      <c r="AB46" s="9"/>
      <c r="AC46" s="9"/>
      <c r="AD46" s="9"/>
      <c r="AE46" s="9"/>
      <c r="AF46" s="10"/>
    </row>
    <row r="47" spans="1:32" x14ac:dyDescent="0.3">
      <c r="A47" s="4" t="s">
        <v>85</v>
      </c>
      <c r="B47" s="9">
        <v>5000</v>
      </c>
      <c r="C47" s="9"/>
      <c r="D47" s="9">
        <v>5000</v>
      </c>
      <c r="E47" s="9"/>
      <c r="F47" s="9">
        <v>5000</v>
      </c>
      <c r="G47" s="9"/>
      <c r="H47" s="9">
        <v>5000</v>
      </c>
      <c r="I47" s="9"/>
      <c r="J47" s="9">
        <v>5000</v>
      </c>
      <c r="K47" s="9"/>
      <c r="L47" s="9">
        <v>5000</v>
      </c>
      <c r="M47" s="9"/>
      <c r="N47" s="9">
        <v>5000</v>
      </c>
      <c r="O47" s="9"/>
      <c r="P47" s="9">
        <v>5000</v>
      </c>
      <c r="Q47" s="9"/>
      <c r="R47" s="9">
        <v>5000</v>
      </c>
      <c r="S47" s="9"/>
      <c r="T47" s="9">
        <v>5000</v>
      </c>
      <c r="U47" s="9"/>
      <c r="V47" s="9">
        <v>5000</v>
      </c>
      <c r="W47" s="9"/>
      <c r="X47" s="9">
        <v>5000</v>
      </c>
      <c r="Y47" s="9"/>
      <c r="Z47" s="9">
        <f t="shared" si="105"/>
        <v>60000</v>
      </c>
      <c r="AA47" s="9"/>
      <c r="AB47" s="9"/>
      <c r="AC47" s="9"/>
      <c r="AD47" s="9"/>
      <c r="AE47" s="9"/>
      <c r="AF47" s="10"/>
    </row>
    <row r="48" spans="1:32" x14ac:dyDescent="0.3">
      <c r="A48" s="4" t="s">
        <v>86</v>
      </c>
      <c r="B48" s="9">
        <v>1800</v>
      </c>
      <c r="C48" s="9"/>
      <c r="D48" s="9">
        <v>1800</v>
      </c>
      <c r="E48" s="9"/>
      <c r="F48" s="9">
        <v>1800</v>
      </c>
      <c r="G48" s="9"/>
      <c r="H48" s="9">
        <v>1800</v>
      </c>
      <c r="I48" s="9"/>
      <c r="J48" s="9">
        <v>1800</v>
      </c>
      <c r="K48" s="9"/>
      <c r="L48" s="9">
        <v>1800</v>
      </c>
      <c r="M48" s="9"/>
      <c r="N48" s="9">
        <v>1800</v>
      </c>
      <c r="O48" s="9"/>
      <c r="P48" s="9">
        <v>1800</v>
      </c>
      <c r="Q48" s="9"/>
      <c r="R48" s="9">
        <v>1800</v>
      </c>
      <c r="S48" s="9"/>
      <c r="T48" s="9">
        <v>1800</v>
      </c>
      <c r="U48" s="9"/>
      <c r="V48" s="9">
        <v>1800</v>
      </c>
      <c r="W48" s="9"/>
      <c r="X48" s="9">
        <v>1800</v>
      </c>
      <c r="Y48" s="9"/>
      <c r="Z48" s="9">
        <f t="shared" si="105"/>
        <v>21600</v>
      </c>
      <c r="AA48" s="9"/>
      <c r="AB48" s="9"/>
      <c r="AC48" s="9"/>
      <c r="AD48" s="9"/>
      <c r="AE48" s="9"/>
      <c r="AF48" s="10"/>
    </row>
    <row r="49" spans="1:32" x14ac:dyDescent="0.3">
      <c r="A49" s="4" t="s">
        <v>87</v>
      </c>
      <c r="B49" s="9">
        <v>3000</v>
      </c>
      <c r="C49" s="9"/>
      <c r="D49" s="9">
        <v>3000</v>
      </c>
      <c r="E49" s="9"/>
      <c r="F49" s="9">
        <v>3000</v>
      </c>
      <c r="G49" s="9"/>
      <c r="H49" s="9">
        <v>3000</v>
      </c>
      <c r="I49" s="9"/>
      <c r="J49" s="9">
        <v>3000</v>
      </c>
      <c r="K49" s="9"/>
      <c r="L49" s="9">
        <v>3000</v>
      </c>
      <c r="M49" s="9"/>
      <c r="N49" s="9">
        <v>3000</v>
      </c>
      <c r="O49" s="9"/>
      <c r="P49" s="9">
        <v>3000</v>
      </c>
      <c r="Q49" s="9"/>
      <c r="R49" s="9">
        <v>3000</v>
      </c>
      <c r="S49" s="9"/>
      <c r="T49" s="9">
        <v>3000</v>
      </c>
      <c r="U49" s="9"/>
      <c r="V49" s="9">
        <v>3000</v>
      </c>
      <c r="W49" s="9"/>
      <c r="X49" s="9">
        <v>3000</v>
      </c>
      <c r="Y49" s="9"/>
      <c r="Z49" s="9">
        <f t="shared" si="105"/>
        <v>36000</v>
      </c>
      <c r="AA49" s="9"/>
      <c r="AB49" s="9"/>
      <c r="AC49" s="9"/>
      <c r="AD49" s="9"/>
      <c r="AE49" s="9"/>
      <c r="AF49" s="10"/>
    </row>
    <row r="50" spans="1:32" x14ac:dyDescent="0.3">
      <c r="A50" s="7" t="s">
        <v>88</v>
      </c>
      <c r="B50" s="11">
        <f>SUM(B36:B49)</f>
        <v>75995.600000000006</v>
      </c>
      <c r="C50" s="12">
        <f>+B50/B14</f>
        <v>8.927005755902738E-2</v>
      </c>
      <c r="D50" s="11">
        <f t="shared" ref="D50" si="128">SUM(D36:D49)</f>
        <v>71594.240000000005</v>
      </c>
      <c r="E50" s="12">
        <f>+D50/D14</f>
        <v>0.10995890032253111</v>
      </c>
      <c r="F50" s="11">
        <f t="shared" ref="F50" si="129">SUM(F36:F49)</f>
        <v>76469.279999999999</v>
      </c>
      <c r="G50" s="12">
        <f>+F50/F14</f>
        <v>8.5862654390298679E-2</v>
      </c>
      <c r="H50" s="11">
        <f t="shared" ref="H50" si="130">SUM(H36:H49)</f>
        <v>68195.12</v>
      </c>
      <c r="I50" s="12">
        <f>+H50/H14</f>
        <v>0.15120869179600885</v>
      </c>
      <c r="J50" s="11">
        <f t="shared" ref="J50" si="131">SUM(J36:J49)</f>
        <v>76590.16</v>
      </c>
      <c r="K50" s="12">
        <f>+J50/J14</f>
        <v>8.5052926152137706E-2</v>
      </c>
      <c r="L50" s="11">
        <f t="shared" ref="L50" si="132">SUM(L36:L49)</f>
        <v>71097.2</v>
      </c>
      <c r="M50" s="12">
        <f>+L50/L14</f>
        <v>0.10921228878648233</v>
      </c>
      <c r="N50" s="11">
        <f t="shared" ref="N50" si="133">SUM(N36:N49)</f>
        <v>75189.84</v>
      </c>
      <c r="O50" s="12">
        <f>+N50/N14</f>
        <v>7.9122214037672306E-2</v>
      </c>
      <c r="P50" s="11">
        <f t="shared" ref="P50" si="134">SUM(P36:P49)</f>
        <v>73356.88</v>
      </c>
      <c r="Q50" s="12">
        <f>+P50/P14</f>
        <v>0.11629181991122385</v>
      </c>
      <c r="R50" s="11">
        <f t="shared" ref="R50" si="135">SUM(R36:R49)</f>
        <v>68671.92</v>
      </c>
      <c r="S50" s="12">
        <f>+R50/R14</f>
        <v>0.14006102386294106</v>
      </c>
      <c r="T50" s="11">
        <f t="shared" ref="T50" si="136">SUM(T36:T49)</f>
        <v>72401.36</v>
      </c>
      <c r="U50" s="12">
        <f>+T50/T14</f>
        <v>0.1313999274047187</v>
      </c>
      <c r="V50" s="11">
        <f t="shared" ref="V50" si="137">SUM(V36:V49)</f>
        <v>70597.600000000006</v>
      </c>
      <c r="W50" s="12">
        <f>+V50/V14</f>
        <v>0.10851152782047342</v>
      </c>
      <c r="X50" s="11">
        <f t="shared" ref="X50" si="138">SUM(X36:X49)</f>
        <v>77690.64</v>
      </c>
      <c r="Y50" s="12">
        <f>+X50/X14</f>
        <v>7.834876966518757E-2</v>
      </c>
      <c r="Z50" s="11">
        <f t="shared" ref="Z50" si="139">SUM(Z36:Z49)</f>
        <v>877849.84</v>
      </c>
      <c r="AA50" s="12">
        <f>+Z50/Z14</f>
        <v>0.10136717127977736</v>
      </c>
      <c r="AB50" s="9"/>
      <c r="AC50" s="9"/>
      <c r="AD50" s="9"/>
      <c r="AE50" s="9"/>
      <c r="AF50" s="10"/>
    </row>
    <row r="51" spans="1:32" x14ac:dyDescent="0.3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10"/>
    </row>
    <row r="52" spans="1:32" x14ac:dyDescent="0.3">
      <c r="A52" s="16" t="s">
        <v>89</v>
      </c>
      <c r="B52" s="17">
        <f>+B50+B33</f>
        <v>287662.84999999998</v>
      </c>
      <c r="C52" s="18">
        <f>B52/B14</f>
        <v>0.33791007870315987</v>
      </c>
      <c r="D52" s="17">
        <f t="shared" ref="D52" si="140">+D50+D33</f>
        <v>276755.99</v>
      </c>
      <c r="E52" s="18">
        <f>D52/D14</f>
        <v>0.42505911534326524</v>
      </c>
      <c r="F52" s="17">
        <f t="shared" ref="F52" si="141">+F50+F33</f>
        <v>289415.78000000003</v>
      </c>
      <c r="G52" s="18">
        <f>F52/F14</f>
        <v>0.32496719065798341</v>
      </c>
      <c r="H52" s="17">
        <f t="shared" ref="H52" si="142">+H50+H33</f>
        <v>266855.62</v>
      </c>
      <c r="I52" s="18">
        <f>H52/H14</f>
        <v>0.59169760532150772</v>
      </c>
      <c r="J52" s="17">
        <f t="shared" ref="J52" si="143">+J50+J33</f>
        <v>289860.41000000003</v>
      </c>
      <c r="K52" s="18">
        <f>J52/J14</f>
        <v>0.32188829539144925</v>
      </c>
      <c r="L52" s="17">
        <f t="shared" ref="L52" si="144">+L50+L33</f>
        <v>276259.7</v>
      </c>
      <c r="M52" s="18">
        <f>L52/L14</f>
        <v>0.4243620583717358</v>
      </c>
      <c r="N52" s="17">
        <f t="shared" ref="N52" si="145">+N50+N33</f>
        <v>290080.58999999997</v>
      </c>
      <c r="O52" s="18">
        <f>N52/N14</f>
        <v>0.30525159423339993</v>
      </c>
      <c r="P52" s="17">
        <f t="shared" ref="P52" si="146">+P50+P33</f>
        <v>277864.88</v>
      </c>
      <c r="Q52" s="18">
        <f>P52/P14</f>
        <v>0.4404960050729233</v>
      </c>
      <c r="R52" s="17">
        <f t="shared" ref="R52" si="147">+R50+R33</f>
        <v>268614.67</v>
      </c>
      <c r="S52" s="18">
        <f>R52/R14</f>
        <v>0.54785778095043847</v>
      </c>
      <c r="T52" s="17">
        <f t="shared" ref="T52" si="148">+T50+T33</f>
        <v>274317.86</v>
      </c>
      <c r="U52" s="18">
        <f>T52/T14</f>
        <v>0.497854555353902</v>
      </c>
      <c r="V52" s="17">
        <f t="shared" ref="V52" si="149">+V50+V33</f>
        <v>275752.09999999998</v>
      </c>
      <c r="W52" s="18">
        <f>V52/V14</f>
        <v>0.42384276052874265</v>
      </c>
      <c r="X52" s="17">
        <f t="shared" ref="X52" si="150">+X50+X33</f>
        <v>293928.64</v>
      </c>
      <c r="Y52" s="18">
        <f>X52/X14</f>
        <v>0.29641855586930216</v>
      </c>
      <c r="Z52" s="17">
        <f t="shared" ref="Z52" si="151">+Z50+Z33</f>
        <v>3367369.09</v>
      </c>
      <c r="AA52" s="18">
        <f>Z52/Z14</f>
        <v>0.38883720626782597</v>
      </c>
      <c r="AB52" s="9"/>
      <c r="AC52" s="9"/>
      <c r="AD52" s="9"/>
      <c r="AE52" s="9"/>
      <c r="AF52" s="10"/>
    </row>
    <row r="53" spans="1:32" x14ac:dyDescent="0.3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10"/>
    </row>
    <row r="54" spans="1:32" x14ac:dyDescent="0.3">
      <c r="A54" s="19" t="s">
        <v>90</v>
      </c>
      <c r="B54" s="14">
        <f>+B21-B52</f>
        <v>137987.15000000002</v>
      </c>
      <c r="C54" s="15">
        <f>B54/B14</f>
        <v>0.16208992129684016</v>
      </c>
      <c r="D54" s="14">
        <f t="shared" ref="D54:Z54" si="152">+D21-D52</f>
        <v>48794.010000000009</v>
      </c>
      <c r="E54" s="15">
        <f>D54/D14</f>
        <v>7.4940884656734777E-2</v>
      </c>
      <c r="F54" s="14">
        <f t="shared" si="152"/>
        <v>155884.21999999997</v>
      </c>
      <c r="G54" s="15">
        <f>F54/F14</f>
        <v>0.17503280934201659</v>
      </c>
      <c r="H54" s="14">
        <f t="shared" si="152"/>
        <v>-41355.619999999995</v>
      </c>
      <c r="I54" s="15">
        <f>H54/H14</f>
        <v>-9.1697605321507752E-2</v>
      </c>
      <c r="J54" s="14">
        <f t="shared" si="152"/>
        <v>160389.58999999997</v>
      </c>
      <c r="K54" s="15">
        <f>J54/J14</f>
        <v>0.17811170460855077</v>
      </c>
      <c r="L54" s="14">
        <f t="shared" si="152"/>
        <v>49240.299999999988</v>
      </c>
      <c r="M54" s="15">
        <f>L54/L14</f>
        <v>7.5637941628264191E-2</v>
      </c>
      <c r="N54" s="14">
        <f t="shared" si="152"/>
        <v>185069.41000000003</v>
      </c>
      <c r="O54" s="15">
        <f>N54/N14</f>
        <v>0.19474840576660005</v>
      </c>
      <c r="P54" s="14">
        <f t="shared" si="152"/>
        <v>37535.119999999995</v>
      </c>
      <c r="Q54" s="15">
        <f>P54/P14</f>
        <v>5.9503994927076719E-2</v>
      </c>
      <c r="R54" s="14">
        <f t="shared" si="152"/>
        <v>-23464.669999999984</v>
      </c>
      <c r="S54" s="15">
        <f>R54/R14</f>
        <v>-4.7857780950438474E-2</v>
      </c>
      <c r="T54" s="14">
        <f t="shared" si="152"/>
        <v>1182.140000000014</v>
      </c>
      <c r="U54" s="15">
        <f>T54/T14</f>
        <v>2.1454446460980291E-3</v>
      </c>
      <c r="V54" s="14">
        <f t="shared" si="152"/>
        <v>49547.900000000023</v>
      </c>
      <c r="W54" s="15">
        <f>V54/V14</f>
        <v>7.615723947125734E-2</v>
      </c>
      <c r="X54" s="14">
        <f t="shared" si="152"/>
        <v>201871.35999999999</v>
      </c>
      <c r="Y54" s="15">
        <f>X54/X14</f>
        <v>0.20358144413069784</v>
      </c>
      <c r="Z54" s="14">
        <f t="shared" si="152"/>
        <v>962680.91000000015</v>
      </c>
      <c r="AA54" s="15">
        <f>Z54/Z14</f>
        <v>0.11116279373217401</v>
      </c>
      <c r="AB54" s="9"/>
      <c r="AC54" s="9"/>
      <c r="AD54" s="9"/>
      <c r="AE54" s="9"/>
      <c r="AF54" s="10"/>
    </row>
    <row r="55" spans="1:32" x14ac:dyDescent="0.3">
      <c r="A55" s="20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10"/>
    </row>
    <row r="56" spans="1:32" x14ac:dyDescent="0.3">
      <c r="A56" s="6" t="s">
        <v>91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10"/>
    </row>
    <row r="57" spans="1:32" x14ac:dyDescent="0.3">
      <c r="A57" s="4" t="s">
        <v>92</v>
      </c>
      <c r="B57" s="9">
        <v>10000</v>
      </c>
      <c r="C57" s="9"/>
      <c r="D57" s="9">
        <v>9500</v>
      </c>
      <c r="E57" s="9"/>
      <c r="F57" s="9">
        <v>9000</v>
      </c>
      <c r="G57" s="9"/>
      <c r="H57" s="9">
        <v>8500</v>
      </c>
      <c r="I57" s="9"/>
      <c r="J57" s="9">
        <v>8000</v>
      </c>
      <c r="K57" s="9"/>
      <c r="L57" s="9">
        <v>8000</v>
      </c>
      <c r="M57" s="9"/>
      <c r="N57" s="9">
        <v>7500</v>
      </c>
      <c r="O57" s="9"/>
      <c r="P57" s="9">
        <v>10000</v>
      </c>
      <c r="Q57" s="9"/>
      <c r="R57" s="9">
        <v>11000</v>
      </c>
      <c r="S57" s="9"/>
      <c r="T57" s="9">
        <v>9000</v>
      </c>
      <c r="U57" s="9"/>
      <c r="V57" s="9">
        <v>8000</v>
      </c>
      <c r="W57" s="9"/>
      <c r="X57" s="9">
        <v>7000</v>
      </c>
      <c r="Y57" s="9"/>
      <c r="Z57" s="9">
        <f>SUM(B57:X57)</f>
        <v>105500</v>
      </c>
      <c r="AA57" s="9"/>
      <c r="AB57" s="9"/>
      <c r="AC57" s="9"/>
      <c r="AD57" s="9"/>
      <c r="AE57" s="9"/>
      <c r="AF57" s="10"/>
    </row>
    <row r="58" spans="1:32" x14ac:dyDescent="0.3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10"/>
    </row>
    <row r="59" spans="1:32" x14ac:dyDescent="0.3">
      <c r="A59" s="7" t="s">
        <v>93</v>
      </c>
      <c r="B59" s="11">
        <f>+B57</f>
        <v>10000</v>
      </c>
      <c r="C59" s="21">
        <f>B59/B14</f>
        <v>1.1746740279572419E-2</v>
      </c>
      <c r="D59" s="11">
        <f t="shared" ref="D59" si="153">+D57</f>
        <v>9500</v>
      </c>
      <c r="E59" s="21">
        <f t="shared" ref="E59" si="154">D59/D14</f>
        <v>1.4590692673936416E-2</v>
      </c>
      <c r="F59" s="11">
        <f t="shared" ref="F59" si="155">+F57</f>
        <v>9000</v>
      </c>
      <c r="G59" s="21">
        <f t="shared" ref="G59" si="156">F59/F14</f>
        <v>1.0105546822366944E-2</v>
      </c>
      <c r="H59" s="11">
        <f t="shared" ref="H59" si="157">+H57</f>
        <v>8500</v>
      </c>
      <c r="I59" s="21">
        <f t="shared" ref="I59" si="158">H59/H14</f>
        <v>1.8847006651884702E-2</v>
      </c>
      <c r="J59" s="11">
        <f t="shared" ref="J59" si="159">+J57</f>
        <v>8000</v>
      </c>
      <c r="K59" s="21">
        <f t="shared" ref="K59" si="160">J59/J14</f>
        <v>8.8839533592448647E-3</v>
      </c>
      <c r="L59" s="11">
        <f t="shared" ref="L59" si="161">+L57</f>
        <v>8000</v>
      </c>
      <c r="M59" s="21">
        <f t="shared" ref="M59" si="162">L59/L14</f>
        <v>1.2288786482334869E-2</v>
      </c>
      <c r="N59" s="11">
        <f t="shared" ref="N59" si="163">+N57</f>
        <v>7500</v>
      </c>
      <c r="O59" s="21">
        <f t="shared" ref="O59" si="164">N59/N14</f>
        <v>7.8922445543512573E-3</v>
      </c>
      <c r="P59" s="11">
        <f t="shared" ref="P59" si="165">+P57</f>
        <v>10000</v>
      </c>
      <c r="Q59" s="21">
        <f t="shared" ref="Q59" si="166">P59/P14</f>
        <v>1.5852885225110969E-2</v>
      </c>
      <c r="R59" s="11">
        <f t="shared" ref="R59" si="167">+R57</f>
        <v>11000</v>
      </c>
      <c r="S59" s="21">
        <f t="shared" ref="S59" si="168">R59/R14</f>
        <v>2.2435243728329595E-2</v>
      </c>
      <c r="T59" s="11">
        <f t="shared" ref="T59" si="169">+T57</f>
        <v>9000</v>
      </c>
      <c r="U59" s="21">
        <f t="shared" ref="U59" si="170">T59/T14</f>
        <v>1.6333938294010888E-2</v>
      </c>
      <c r="V59" s="11">
        <f t="shared" ref="V59" si="171">+V57</f>
        <v>8000</v>
      </c>
      <c r="W59" s="21">
        <f t="shared" ref="W59" si="172">V59/V14</f>
        <v>1.2296341838303105E-2</v>
      </c>
      <c r="X59" s="11">
        <f t="shared" ref="X59" si="173">+X57</f>
        <v>7000</v>
      </c>
      <c r="Y59" s="21">
        <f t="shared" ref="Y59" si="174">X59/X14</f>
        <v>7.0592981040742235E-3</v>
      </c>
      <c r="Z59" s="11">
        <f t="shared" ref="Z59" si="175">+Z57</f>
        <v>105500</v>
      </c>
      <c r="AA59" s="21">
        <f t="shared" ref="AA59" si="176">Z59/Z14</f>
        <v>1.2182307363656308E-2</v>
      </c>
      <c r="AB59" s="9"/>
      <c r="AC59" s="9"/>
      <c r="AD59" s="9"/>
      <c r="AE59" s="9"/>
      <c r="AF59" s="10"/>
    </row>
    <row r="60" spans="1:32" x14ac:dyDescent="0.3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10"/>
    </row>
    <row r="61" spans="1:32" x14ac:dyDescent="0.3">
      <c r="A61" s="22" t="s">
        <v>94</v>
      </c>
      <c r="B61" s="23">
        <f>+B54-B59</f>
        <v>127987.15000000002</v>
      </c>
      <c r="C61" s="24">
        <f>B61/B14</f>
        <v>0.15034318101726774</v>
      </c>
      <c r="D61" s="23">
        <f t="shared" ref="D61:Z61" si="177">+D54-D59</f>
        <v>39294.010000000009</v>
      </c>
      <c r="E61" s="24">
        <f>D61/D14</f>
        <v>6.0350191982798354E-2</v>
      </c>
      <c r="F61" s="23">
        <f t="shared" si="177"/>
        <v>146884.21999999997</v>
      </c>
      <c r="G61" s="24">
        <f>F61/F14</f>
        <v>0.16492726251964965</v>
      </c>
      <c r="H61" s="23">
        <f t="shared" si="177"/>
        <v>-49855.619999999995</v>
      </c>
      <c r="I61" s="24">
        <f>H61/H14</f>
        <v>-0.11054461197339245</v>
      </c>
      <c r="J61" s="23">
        <f t="shared" si="177"/>
        <v>152389.58999999997</v>
      </c>
      <c r="K61" s="24">
        <f>J61/J14</f>
        <v>0.16922775124930589</v>
      </c>
      <c r="L61" s="23">
        <f t="shared" si="177"/>
        <v>41240.299999999988</v>
      </c>
      <c r="M61" s="24">
        <f>L61/L14</f>
        <v>6.3349155145929328E-2</v>
      </c>
      <c r="N61" s="23">
        <f t="shared" si="177"/>
        <v>177569.41000000003</v>
      </c>
      <c r="O61" s="24">
        <f>N61/N14</f>
        <v>0.18685616121224879</v>
      </c>
      <c r="P61" s="23">
        <f t="shared" si="177"/>
        <v>27535.119999999995</v>
      </c>
      <c r="Q61" s="24">
        <f>P61/P14</f>
        <v>4.365110970196575E-2</v>
      </c>
      <c r="R61" s="23">
        <f t="shared" si="177"/>
        <v>-34464.669999999984</v>
      </c>
      <c r="S61" s="24">
        <f>R61/R14</f>
        <v>-7.0293024678768065E-2</v>
      </c>
      <c r="T61" s="23">
        <f t="shared" si="177"/>
        <v>-7817.859999999986</v>
      </c>
      <c r="U61" s="24">
        <f>T61/T14</f>
        <v>-1.418849364791286E-2</v>
      </c>
      <c r="V61" s="23">
        <f t="shared" si="177"/>
        <v>41547.900000000023</v>
      </c>
      <c r="W61" s="24">
        <f>V61/V14</f>
        <v>6.386089763295423E-2</v>
      </c>
      <c r="X61" s="23">
        <f t="shared" si="177"/>
        <v>194871.36</v>
      </c>
      <c r="Y61" s="24">
        <f>X61/X14</f>
        <v>0.19652214602662363</v>
      </c>
      <c r="Z61" s="23">
        <f t="shared" si="177"/>
        <v>857180.91000000015</v>
      </c>
      <c r="AA61" s="24">
        <f>Z61/Z14</f>
        <v>9.8980486368517695E-2</v>
      </c>
      <c r="AB61" s="9"/>
      <c r="AC61" s="9"/>
      <c r="AD61" s="9"/>
      <c r="AE61" s="9"/>
      <c r="AF61" s="10"/>
    </row>
    <row r="62" spans="1:32" x14ac:dyDescent="0.3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10"/>
    </row>
    <row r="63" spans="1:32" x14ac:dyDescent="0.3">
      <c r="A63" s="4" t="s">
        <v>95</v>
      </c>
      <c r="B63" s="25">
        <f>B61*0.31</f>
        <v>39676.016500000005</v>
      </c>
      <c r="C63" s="10"/>
      <c r="D63" s="25">
        <f t="shared" ref="D63" si="178">D61*0.31</f>
        <v>12181.143100000003</v>
      </c>
      <c r="E63" s="10"/>
      <c r="F63" s="25">
        <f t="shared" ref="F63" si="179">F61*0.31</f>
        <v>45534.108199999988</v>
      </c>
      <c r="G63" s="10"/>
      <c r="H63" s="25">
        <f t="shared" ref="H63" si="180">H61*0.31</f>
        <v>-15455.242199999999</v>
      </c>
      <c r="I63" s="10"/>
      <c r="J63" s="25">
        <f t="shared" ref="J63" si="181">J61*0.31</f>
        <v>47240.772899999989</v>
      </c>
      <c r="K63" s="10"/>
      <c r="L63" s="25">
        <f t="shared" ref="L63" si="182">L61*0.31</f>
        <v>12784.492999999997</v>
      </c>
      <c r="M63" s="10"/>
      <c r="N63" s="25">
        <f t="shared" ref="N63" si="183">N61*0.31</f>
        <v>55046.517100000012</v>
      </c>
      <c r="O63" s="10"/>
      <c r="P63" s="25">
        <f t="shared" ref="P63" si="184">P61*0.31</f>
        <v>8535.8871999999992</v>
      </c>
      <c r="Q63" s="10"/>
      <c r="R63" s="25">
        <f t="shared" ref="R63" si="185">R61*0.31</f>
        <v>-10684.047699999996</v>
      </c>
      <c r="S63" s="10"/>
      <c r="T63" s="25">
        <f t="shared" ref="T63" si="186">T61*0.31</f>
        <v>-2423.5365999999958</v>
      </c>
      <c r="U63" s="10"/>
      <c r="V63" s="25">
        <f t="shared" ref="V63" si="187">V61*0.31</f>
        <v>12879.849000000007</v>
      </c>
      <c r="W63" s="10"/>
      <c r="X63" s="25">
        <f t="shared" ref="X63" si="188">X61*0.31</f>
        <v>60410.121599999999</v>
      </c>
      <c r="Y63" s="10"/>
      <c r="Z63" s="25">
        <f t="shared" ref="Z63" si="189">Z61*0.31</f>
        <v>265726.08210000006</v>
      </c>
      <c r="AA63" s="10"/>
      <c r="AB63" s="10"/>
      <c r="AC63" s="10"/>
      <c r="AD63" s="10"/>
      <c r="AE63" s="10"/>
      <c r="AF63" s="10"/>
    </row>
    <row r="64" spans="1:32" x14ac:dyDescent="0.3">
      <c r="A64" s="7" t="s">
        <v>96</v>
      </c>
      <c r="B64" s="26">
        <f>+B63</f>
        <v>39676.016500000005</v>
      </c>
      <c r="C64" s="27"/>
      <c r="D64" s="26">
        <f t="shared" ref="D64" si="190">+D63</f>
        <v>12181.143100000003</v>
      </c>
      <c r="E64" s="27"/>
      <c r="F64" s="26">
        <f t="shared" ref="F64" si="191">+F63</f>
        <v>45534.108199999988</v>
      </c>
      <c r="G64" s="27"/>
      <c r="H64" s="26">
        <f t="shared" ref="H64" si="192">+H63</f>
        <v>-15455.242199999999</v>
      </c>
      <c r="I64" s="27"/>
      <c r="J64" s="26">
        <f t="shared" ref="J64" si="193">+J63</f>
        <v>47240.772899999989</v>
      </c>
      <c r="K64" s="27"/>
      <c r="L64" s="26">
        <f t="shared" ref="L64" si="194">+L63</f>
        <v>12784.492999999997</v>
      </c>
      <c r="M64" s="27"/>
      <c r="N64" s="26">
        <f t="shared" ref="N64" si="195">+N63</f>
        <v>55046.517100000012</v>
      </c>
      <c r="O64" s="27"/>
      <c r="P64" s="26">
        <f t="shared" ref="P64" si="196">+P63</f>
        <v>8535.8871999999992</v>
      </c>
      <c r="Q64" s="27"/>
      <c r="R64" s="26">
        <f t="shared" ref="R64" si="197">+R63</f>
        <v>-10684.047699999996</v>
      </c>
      <c r="S64" s="27"/>
      <c r="T64" s="26">
        <f t="shared" ref="T64" si="198">+T63</f>
        <v>-2423.5365999999958</v>
      </c>
      <c r="U64" s="27"/>
      <c r="V64" s="26">
        <f t="shared" ref="V64" si="199">+V63</f>
        <v>12879.849000000007</v>
      </c>
      <c r="W64" s="27"/>
      <c r="X64" s="26">
        <f t="shared" ref="X64" si="200">+X63</f>
        <v>60410.121599999999</v>
      </c>
      <c r="Y64" s="27"/>
      <c r="Z64" s="26">
        <f t="shared" ref="Z64" si="201">+Z63</f>
        <v>265726.08210000006</v>
      </c>
      <c r="AA64" s="27"/>
      <c r="AB64" s="10"/>
      <c r="AC64" s="10"/>
      <c r="AD64" s="10"/>
      <c r="AE64" s="10"/>
      <c r="AF64" s="10"/>
    </row>
    <row r="65" spans="1:32" x14ac:dyDescent="0.3"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</row>
    <row r="66" spans="1:32" x14ac:dyDescent="0.3">
      <c r="A66" s="19" t="s">
        <v>97</v>
      </c>
      <c r="B66" s="28">
        <f>+B61-B63</f>
        <v>88311.133500000025</v>
      </c>
      <c r="C66" s="29">
        <f>B66/B14</f>
        <v>0.10373679490191474</v>
      </c>
      <c r="D66" s="28">
        <f t="shared" ref="D66" si="202">+D61-D63</f>
        <v>27112.866900000008</v>
      </c>
      <c r="E66" s="29">
        <f t="shared" ref="E66" si="203">D66/D14</f>
        <v>4.1641632468130865E-2</v>
      </c>
      <c r="F66" s="28">
        <f t="shared" ref="F66" si="204">+F61-F63</f>
        <v>101350.11179999998</v>
      </c>
      <c r="G66" s="29">
        <f t="shared" ref="G66" si="205">F66/F14</f>
        <v>0.11379981113855826</v>
      </c>
      <c r="H66" s="28">
        <f t="shared" ref="H66" si="206">+H61-H63</f>
        <v>-34400.377799999995</v>
      </c>
      <c r="I66" s="29">
        <f t="shared" ref="I66" si="207">H66/H14</f>
        <v>-7.6275782261640793E-2</v>
      </c>
      <c r="J66" s="28">
        <f t="shared" ref="J66" si="208">+J61-J63</f>
        <v>105148.81709999999</v>
      </c>
      <c r="K66" s="29">
        <f t="shared" ref="K66" si="209">J66/J14</f>
        <v>0.11676714836202108</v>
      </c>
      <c r="L66" s="28">
        <f t="shared" ref="L66" si="210">+L61-L63</f>
        <v>28455.806999999993</v>
      </c>
      <c r="M66" s="29">
        <f t="shared" ref="M66" si="211">L66/L14</f>
        <v>4.3710917050691231E-2</v>
      </c>
      <c r="N66" s="28">
        <f t="shared" ref="N66" si="212">+N61-N63</f>
        <v>122522.89290000002</v>
      </c>
      <c r="O66" s="29">
        <f t="shared" ref="O66" si="213">N66/N14</f>
        <v>0.12893075123645167</v>
      </c>
      <c r="P66" s="28">
        <f t="shared" ref="P66" si="214">+P61-P63</f>
        <v>18999.232799999998</v>
      </c>
      <c r="Q66" s="29">
        <f t="shared" ref="Q66" si="215">P66/P14</f>
        <v>3.011926569435637E-2</v>
      </c>
      <c r="R66" s="28">
        <f t="shared" ref="R66" si="216">+R61-R63</f>
        <v>-23780.622299999988</v>
      </c>
      <c r="S66" s="29">
        <f t="shared" ref="S66" si="217">R66/R14</f>
        <v>-4.8502187028349963E-2</v>
      </c>
      <c r="T66" s="28">
        <f t="shared" ref="T66" si="218">+T61-T63</f>
        <v>-5394.3233999999902</v>
      </c>
      <c r="U66" s="29">
        <f t="shared" ref="U66" si="219">T66/T14</f>
        <v>-9.7900606170598734E-3</v>
      </c>
      <c r="V66" s="28">
        <f t="shared" ref="V66" si="220">+V61-V63</f>
        <v>28668.051000000014</v>
      </c>
      <c r="W66" s="29">
        <f t="shared" ref="W66" si="221">V66/V14</f>
        <v>4.406401936673842E-2</v>
      </c>
      <c r="X66" s="28">
        <f t="shared" ref="X66" si="222">+X61-X63</f>
        <v>134461.23839999997</v>
      </c>
      <c r="Y66" s="29">
        <f t="shared" ref="Y66" si="223">X66/X14</f>
        <v>0.13560028075837027</v>
      </c>
      <c r="Z66" s="28">
        <f t="shared" ref="Z66" si="224">+Z61-Z63</f>
        <v>591454.82790000015</v>
      </c>
      <c r="AA66" s="29">
        <f t="shared" ref="AA66" si="225">Z66/Z14</f>
        <v>6.8296535594277216E-2</v>
      </c>
      <c r="AB66" s="10"/>
      <c r="AC66" s="10"/>
      <c r="AD66" s="10"/>
      <c r="AE66" s="10"/>
      <c r="AF66" s="10"/>
    </row>
    <row r="68" spans="1:32" x14ac:dyDescent="0.3">
      <c r="A68" s="4" t="s">
        <v>166</v>
      </c>
      <c r="B68" s="80">
        <f>B18*0.05</f>
        <v>4256.5</v>
      </c>
      <c r="C68" s="80"/>
      <c r="D68" s="80">
        <f t="shared" ref="D68:AA68" si="226">D18*0.05</f>
        <v>3255.5</v>
      </c>
      <c r="E68" s="80"/>
      <c r="F68" s="80">
        <f t="shared" ref="F68:AA68" si="227">F18*0.05</f>
        <v>4453</v>
      </c>
      <c r="G68" s="80"/>
      <c r="H68" s="80">
        <f t="shared" ref="H68:AA68" si="228">H18*0.05</f>
        <v>2255</v>
      </c>
      <c r="I68" s="80"/>
      <c r="J68" s="80">
        <f t="shared" ref="J68:AA68" si="229">J18*0.05</f>
        <v>4502.5</v>
      </c>
      <c r="K68" s="80"/>
      <c r="L68" s="80">
        <f t="shared" ref="L68:AA68" si="230">L18*0.05</f>
        <v>3255</v>
      </c>
      <c r="M68" s="80"/>
      <c r="N68" s="80">
        <f t="shared" ref="N68:AA68" si="231">N18*0.05</f>
        <v>4751.5</v>
      </c>
      <c r="O68" s="80"/>
      <c r="P68" s="80">
        <f t="shared" ref="P68:AA68" si="232">P18*0.05</f>
        <v>3154</v>
      </c>
      <c r="Q68" s="80"/>
      <c r="R68" s="80">
        <f t="shared" ref="R68:AA68" si="233">R18*0.05</f>
        <v>2451.5</v>
      </c>
      <c r="S68" s="80"/>
      <c r="T68" s="80">
        <f t="shared" ref="T68:AA68" si="234">T18*0.05</f>
        <v>2755</v>
      </c>
      <c r="U68" s="80"/>
      <c r="V68" s="80">
        <f t="shared" ref="V68:AA68" si="235">V18*0.05</f>
        <v>3253</v>
      </c>
      <c r="W68" s="80"/>
      <c r="X68" s="80">
        <f t="shared" ref="X68:AA68" si="236">X18*0.05</f>
        <v>4958</v>
      </c>
      <c r="Y68" s="80"/>
      <c r="Z68" s="80">
        <f>Z18*0.05</f>
        <v>43300.5</v>
      </c>
      <c r="AA68" s="80"/>
    </row>
    <row r="70" spans="1:32" x14ac:dyDescent="0.3">
      <c r="A70" s="4" t="s">
        <v>98</v>
      </c>
    </row>
  </sheetData>
  <mergeCells count="4">
    <mergeCell ref="A3:A7"/>
    <mergeCell ref="B5:N5"/>
    <mergeCell ref="B6:N6"/>
    <mergeCell ref="B7:N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1D017-E153-4255-AFD3-1B9767D6F1F3}">
  <dimension ref="B1:O27"/>
  <sheetViews>
    <sheetView showGridLines="0" tabSelected="1" topLeftCell="A2" workbookViewId="0">
      <selection activeCell="B27" sqref="B27"/>
    </sheetView>
  </sheetViews>
  <sheetFormatPr baseColWidth="10" defaultRowHeight="14.4" x14ac:dyDescent="0.3"/>
  <cols>
    <col min="1" max="1" width="7" customWidth="1"/>
    <col min="11" max="12" width="14.33203125" customWidth="1"/>
    <col min="13" max="13" width="6.44140625" customWidth="1"/>
    <col min="14" max="15" width="13.44140625" customWidth="1"/>
  </cols>
  <sheetData>
    <row r="1" spans="2:15" x14ac:dyDescent="0.3">
      <c r="B1" s="53" t="s">
        <v>125</v>
      </c>
      <c r="C1" s="53"/>
    </row>
    <row r="2" spans="2:15" x14ac:dyDescent="0.3">
      <c r="B2" s="1" t="s">
        <v>126</v>
      </c>
      <c r="C2" s="1"/>
      <c r="F2" s="2"/>
    </row>
    <row r="3" spans="2:15" x14ac:dyDescent="0.3">
      <c r="N3" s="50" t="s">
        <v>130</v>
      </c>
    </row>
    <row r="4" spans="2:15" x14ac:dyDescent="0.3">
      <c r="B4" s="45" t="s">
        <v>109</v>
      </c>
      <c r="H4" s="50" t="s">
        <v>122</v>
      </c>
      <c r="I4" s="50" t="s">
        <v>123</v>
      </c>
      <c r="J4" s="50" t="s">
        <v>124</v>
      </c>
      <c r="K4" s="50" t="s">
        <v>127</v>
      </c>
      <c r="L4" s="50" t="s">
        <v>128</v>
      </c>
      <c r="N4" s="50" t="s">
        <v>127</v>
      </c>
      <c r="O4" s="50" t="s">
        <v>128</v>
      </c>
    </row>
    <row r="5" spans="2:15" x14ac:dyDescent="0.3">
      <c r="B5" s="45"/>
    </row>
    <row r="6" spans="2:15" x14ac:dyDescent="0.3">
      <c r="B6" t="s">
        <v>106</v>
      </c>
      <c r="H6" s="51">
        <f>'Balance General  Ejemplo'!D17</f>
        <v>475000</v>
      </c>
      <c r="I6" s="51">
        <f>'Balance General  Ejemplo'!I17</f>
        <v>161280</v>
      </c>
      <c r="K6" s="46">
        <f>H6/I6</f>
        <v>2.9451884920634921</v>
      </c>
      <c r="L6" s="54">
        <v>2</v>
      </c>
      <c r="N6" s="46">
        <f>'Promedio Muebles'!I11/'Promedio Muebles'!I18</f>
        <v>0.96932467144798551</v>
      </c>
      <c r="O6" s="46">
        <f>'Promedio Muebles'!J11/'Promedio Muebles'!J18</f>
        <v>0.94449855183169429</v>
      </c>
    </row>
    <row r="7" spans="2:15" x14ac:dyDescent="0.3">
      <c r="B7" t="s">
        <v>107</v>
      </c>
      <c r="H7" s="51">
        <f>'Balance General  Ejemplo'!D17</f>
        <v>475000</v>
      </c>
      <c r="I7" s="51">
        <f>'Balance General  Ejemplo'!I17</f>
        <v>161280</v>
      </c>
      <c r="K7" s="47">
        <f>H7-I7</f>
        <v>313720</v>
      </c>
      <c r="L7" s="47">
        <v>210500</v>
      </c>
      <c r="N7">
        <f>'Promedio Muebles'!I11-'Promedio Muebles'!I18</f>
        <v>-3.9050000000000011</v>
      </c>
      <c r="O7">
        <f>'Promedio Muebles'!J11-'Promedio Muebles'!J18</f>
        <v>-8.7189999999999941</v>
      </c>
    </row>
    <row r="8" spans="2:15" x14ac:dyDescent="0.3">
      <c r="B8" t="s">
        <v>108</v>
      </c>
      <c r="H8" s="51">
        <f>'Balance General  Ejemplo'!D17</f>
        <v>475000</v>
      </c>
      <c r="I8" s="51">
        <f>'Balance General  Ejemplo'!D16</f>
        <v>45000</v>
      </c>
      <c r="J8" s="51">
        <f>'Balance General  Ejemplo'!I17</f>
        <v>161280</v>
      </c>
      <c r="K8" s="46">
        <f>(H8-I8)/J8</f>
        <v>2.6661706349206349</v>
      </c>
      <c r="L8">
        <v>1.9</v>
      </c>
      <c r="N8" s="46">
        <f>('Promedio Muebles'!I11-'Promedio Muebles'!I10)/'Promedio Muebles'!I18</f>
        <v>0.60325527686349678</v>
      </c>
      <c r="O8" s="46">
        <f>('Promedio Muebles'!J11-'Promedio Muebles'!J10)/'Promedio Muebles'!J18</f>
        <v>0.70540755593749005</v>
      </c>
    </row>
    <row r="9" spans="2:15" x14ac:dyDescent="0.3">
      <c r="H9" s="47"/>
      <c r="I9" s="47"/>
      <c r="K9" s="48"/>
    </row>
    <row r="10" spans="2:15" x14ac:dyDescent="0.3">
      <c r="B10" s="45" t="s">
        <v>110</v>
      </c>
      <c r="H10" s="47"/>
      <c r="I10" s="47"/>
      <c r="K10" s="48"/>
    </row>
    <row r="11" spans="2:15" x14ac:dyDescent="0.3">
      <c r="H11" s="47"/>
      <c r="I11" s="47"/>
      <c r="K11" s="48"/>
    </row>
    <row r="12" spans="2:15" x14ac:dyDescent="0.3">
      <c r="B12" t="s">
        <v>111</v>
      </c>
      <c r="H12" s="51">
        <f>'Balance General  Ejemplo'!I22</f>
        <v>77000</v>
      </c>
      <c r="I12" s="51">
        <f>'Balance General  Ejemplo'!D39</f>
        <v>1585280</v>
      </c>
      <c r="K12" s="46">
        <f>H12/I12</f>
        <v>4.8571861122325394E-2</v>
      </c>
      <c r="L12">
        <v>0.3</v>
      </c>
      <c r="N12" s="48">
        <f>'Promedio Muebles'!I21/'Promedio Muebles'!I14</f>
        <v>0.70813886713651786</v>
      </c>
      <c r="O12" s="48">
        <f>'Promedio Muebles'!J21/'Promedio Muebles'!J14</f>
        <v>0.76785011306521156</v>
      </c>
    </row>
    <row r="13" spans="2:15" x14ac:dyDescent="0.3">
      <c r="B13" t="s">
        <v>112</v>
      </c>
      <c r="H13" s="52">
        <f>'Estado de Resultados'!Z57</f>
        <v>105500</v>
      </c>
      <c r="I13" s="52">
        <f>'Estado de Resultados'!Z14</f>
        <v>8660100</v>
      </c>
      <c r="K13" s="49">
        <f>H13/I13</f>
        <v>1.2182307363656308E-2</v>
      </c>
      <c r="L13" s="3">
        <v>0.05</v>
      </c>
      <c r="N13" s="3">
        <f>'Promedio Muebles'!C11/'Promedio Muebles'!C7</f>
        <v>1.5425097804588318E-2</v>
      </c>
      <c r="O13" s="49">
        <f>'Promedio Muebles'!E11/'Promedio Muebles'!E7</f>
        <v>1.8756456611570247E-2</v>
      </c>
    </row>
    <row r="14" spans="2:15" x14ac:dyDescent="0.3">
      <c r="B14" t="s">
        <v>113</v>
      </c>
      <c r="H14" s="52">
        <f>'Estado de Resultados'!Z54</f>
        <v>962680.91000000015</v>
      </c>
      <c r="I14" s="52">
        <f>'Estado de Resultados'!Z57</f>
        <v>105500</v>
      </c>
      <c r="K14" s="48">
        <f>H14/I14</f>
        <v>9.1249375355450244</v>
      </c>
      <c r="L14">
        <v>5.12</v>
      </c>
      <c r="N14" s="46">
        <f>'Promedio Muebles'!C10/'Promedio Muebles'!C11</f>
        <v>2.5473545471662589</v>
      </c>
      <c r="O14" s="46">
        <f>'Promedio Muebles'!E10/'Promedio Muebles'!E11</f>
        <v>2.3327022375215147</v>
      </c>
    </row>
    <row r="15" spans="2:15" x14ac:dyDescent="0.3">
      <c r="B15" t="s">
        <v>114</v>
      </c>
      <c r="H15" s="52">
        <f>'Estado de Resultados'!Z57</f>
        <v>105500</v>
      </c>
      <c r="I15" s="52">
        <f>'Estado de Resultados'!Z14</f>
        <v>8660100</v>
      </c>
      <c r="K15" s="3">
        <f>H15/I15</f>
        <v>1.2182307363656308E-2</v>
      </c>
      <c r="L15" s="49">
        <v>8.9999999999999993E-3</v>
      </c>
      <c r="N15" s="49">
        <f>'Promedio Muebles'!C11/'Promedio Muebles'!C7</f>
        <v>1.5425097804588318E-2</v>
      </c>
      <c r="O15" s="49">
        <f>'Promedio Muebles'!E11/'Promedio Muebles'!E7</f>
        <v>1.8756456611570247E-2</v>
      </c>
    </row>
    <row r="16" spans="2:15" x14ac:dyDescent="0.3">
      <c r="H16" s="47"/>
      <c r="I16" s="47"/>
      <c r="K16" s="48"/>
    </row>
    <row r="17" spans="2:15" x14ac:dyDescent="0.3">
      <c r="B17" s="45" t="s">
        <v>120</v>
      </c>
      <c r="H17" s="47"/>
      <c r="I17" s="47"/>
      <c r="K17" s="48"/>
    </row>
    <row r="18" spans="2:15" x14ac:dyDescent="0.3">
      <c r="H18" s="47"/>
      <c r="I18" s="47"/>
      <c r="K18" s="48"/>
    </row>
    <row r="19" spans="2:15" x14ac:dyDescent="0.3">
      <c r="B19" t="s">
        <v>115</v>
      </c>
      <c r="H19" s="52">
        <f>'Estado de Resultados'!Z21</f>
        <v>4330050</v>
      </c>
      <c r="I19" s="52">
        <f>'Estado de Resultados'!Z14</f>
        <v>8660100</v>
      </c>
      <c r="K19" s="3">
        <f>H19/I19</f>
        <v>0.5</v>
      </c>
      <c r="L19" s="55">
        <v>0.55000000000000004</v>
      </c>
      <c r="N19" s="55">
        <f>'Promedio Muebles'!D9</f>
        <v>0.42354396777313402</v>
      </c>
      <c r="O19" s="55">
        <f>'Promedio Muebles'!F9</f>
        <v>0.38911559093721043</v>
      </c>
    </row>
    <row r="20" spans="2:15" x14ac:dyDescent="0.3">
      <c r="B20" t="s">
        <v>116</v>
      </c>
      <c r="H20" s="52">
        <f>'Estado de Resultados'!Z54</f>
        <v>962680.91000000015</v>
      </c>
      <c r="I20" s="52">
        <f>'Estado de Resultados'!Z14</f>
        <v>8660100</v>
      </c>
      <c r="K20" s="3">
        <f t="shared" ref="K20:K23" si="0">H20/I20</f>
        <v>0.11116279373217401</v>
      </c>
      <c r="L20" s="55">
        <v>0.09</v>
      </c>
      <c r="N20" s="77">
        <f>'Promedio Muebles'!D10</f>
        <v>3.9293193033002327E-2</v>
      </c>
      <c r="O20" s="77">
        <f>'Promedio Muebles'!F10</f>
        <v>3.9362897862094806E-2</v>
      </c>
    </row>
    <row r="21" spans="2:15" x14ac:dyDescent="0.3">
      <c r="B21" t="s">
        <v>117</v>
      </c>
      <c r="H21" s="52">
        <f>'Estado de Resultados'!Z66</f>
        <v>591454.82790000015</v>
      </c>
      <c r="I21" s="51">
        <f>'Balance General  Ejemplo'!I36</f>
        <v>1347000</v>
      </c>
      <c r="K21" s="3">
        <f t="shared" si="0"/>
        <v>0.43909044387527851</v>
      </c>
      <c r="L21" s="55">
        <v>0.3</v>
      </c>
      <c r="N21" s="49">
        <f>'Promedio Muebles'!C14/'Promedio Muebles'!I24</f>
        <v>9.2870174936500557E-2</v>
      </c>
      <c r="O21" s="49">
        <f>'Promedio Muebles'!E14/'Promedio Muebles'!J24</f>
        <v>8.585400481129471E-2</v>
      </c>
    </row>
    <row r="22" spans="2:15" x14ac:dyDescent="0.3">
      <c r="B22" t="s">
        <v>118</v>
      </c>
      <c r="H22" s="52">
        <f>'Estado de Resultados'!Z66</f>
        <v>591454.82790000015</v>
      </c>
      <c r="I22" s="51">
        <f>'Balance General  Ejemplo'!D39</f>
        <v>1585280</v>
      </c>
      <c r="K22" s="3">
        <f t="shared" si="0"/>
        <v>0.37309171118035939</v>
      </c>
      <c r="L22" s="55">
        <v>0.35</v>
      </c>
      <c r="N22" s="49">
        <f>'Promedio Muebles'!C14/'Promedio Muebles'!I14</f>
        <v>2.7105194466196816E-2</v>
      </c>
      <c r="O22" s="49">
        <f>'Promedio Muebles'!E14/'Promedio Muebles'!J14</f>
        <v>1.9930604509791356E-2</v>
      </c>
    </row>
    <row r="23" spans="2:15" x14ac:dyDescent="0.3">
      <c r="B23" t="s">
        <v>119</v>
      </c>
      <c r="H23" s="52">
        <f>'Estado de Resultados'!Z66</f>
        <v>591454.82790000015</v>
      </c>
      <c r="I23" s="52">
        <f>'Estado de Resultados'!Z14</f>
        <v>8660100</v>
      </c>
      <c r="K23" s="3">
        <f t="shared" si="0"/>
        <v>6.8296535594277216E-2</v>
      </c>
      <c r="L23" s="55">
        <v>0.06</v>
      </c>
      <c r="N23" s="77">
        <f>'Promedio Muebles'!D14</f>
        <v>1.5079478027004812E-2</v>
      </c>
      <c r="O23" s="77">
        <f>'Promedio Muebles'!F14</f>
        <v>1.2645617744525993E-2</v>
      </c>
    </row>
    <row r="24" spans="2:15" x14ac:dyDescent="0.3">
      <c r="H24" s="47"/>
      <c r="I24" s="47"/>
      <c r="K24" s="48"/>
    </row>
    <row r="26" spans="2:15" x14ac:dyDescent="0.3">
      <c r="B26" t="s">
        <v>167</v>
      </c>
      <c r="H26" s="81">
        <f>'Estado de Resultados'!Z54</f>
        <v>962680.91000000015</v>
      </c>
      <c r="I26" s="47">
        <f>'Estado de Resultados'!Z68</f>
        <v>43300.5</v>
      </c>
      <c r="K26" s="47">
        <f>H26+I26</f>
        <v>1005981.4100000001</v>
      </c>
    </row>
    <row r="27" spans="2:15" x14ac:dyDescent="0.3">
      <c r="B27" t="s">
        <v>168</v>
      </c>
      <c r="K27" s="3">
        <f>K26/'Estado de Resultados'!Z14</f>
        <v>0.11616279373217402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0375B-557B-45B9-846D-AE715158ADD4}">
  <dimension ref="B3:M26"/>
  <sheetViews>
    <sheetView showGridLines="0" workbookViewId="0">
      <selection activeCell="L5" sqref="L5"/>
    </sheetView>
  </sheetViews>
  <sheetFormatPr baseColWidth="10" defaultRowHeight="14.4" x14ac:dyDescent="0.3"/>
  <cols>
    <col min="1" max="1" width="5.21875" customWidth="1"/>
    <col min="2" max="2" width="25.33203125" customWidth="1"/>
    <col min="3" max="3" width="17.6640625" customWidth="1"/>
    <col min="4" max="4" width="4.88671875" customWidth="1"/>
    <col min="6" max="6" width="6.44140625" customWidth="1"/>
    <col min="7" max="7" width="5.88671875" customWidth="1"/>
    <col min="8" max="8" width="31.6640625" customWidth="1"/>
    <col min="11" max="11" width="6.44140625" customWidth="1"/>
    <col min="12" max="12" width="48.33203125" customWidth="1"/>
  </cols>
  <sheetData>
    <row r="3" spans="2:13" x14ac:dyDescent="0.3">
      <c r="B3" s="65"/>
    </row>
    <row r="4" spans="2:13" ht="26.4" customHeight="1" x14ac:dyDescent="0.3">
      <c r="H4" s="72"/>
      <c r="I4" s="66">
        <v>2019</v>
      </c>
      <c r="J4" s="66">
        <v>2018</v>
      </c>
    </row>
    <row r="5" spans="2:13" x14ac:dyDescent="0.3">
      <c r="B5" s="67"/>
      <c r="C5" s="70">
        <v>2019</v>
      </c>
      <c r="D5" s="70"/>
      <c r="E5" s="70">
        <v>2018</v>
      </c>
      <c r="F5" s="73"/>
      <c r="H5" s="70"/>
      <c r="I5" s="66"/>
      <c r="J5" s="66"/>
    </row>
    <row r="6" spans="2:13" x14ac:dyDescent="0.3">
      <c r="B6" s="66" t="s">
        <v>131</v>
      </c>
      <c r="C6" s="66"/>
      <c r="D6" s="66"/>
      <c r="E6" s="66"/>
      <c r="F6" s="73"/>
      <c r="H6" s="66" t="s">
        <v>140</v>
      </c>
      <c r="I6" s="66"/>
      <c r="J6" s="66"/>
      <c r="L6" s="66" t="s">
        <v>159</v>
      </c>
      <c r="M6" s="66"/>
    </row>
    <row r="7" spans="2:13" x14ac:dyDescent="0.3">
      <c r="B7" s="67" t="s">
        <v>132</v>
      </c>
      <c r="C7" s="71">
        <v>344.30900000000003</v>
      </c>
      <c r="D7" s="71"/>
      <c r="E7" s="71">
        <v>309.76</v>
      </c>
      <c r="F7" s="74"/>
      <c r="H7" s="66" t="s">
        <v>141</v>
      </c>
      <c r="I7" s="66"/>
      <c r="J7" s="66"/>
      <c r="L7" s="67" t="s">
        <v>160</v>
      </c>
      <c r="M7" s="68">
        <v>0.11</v>
      </c>
    </row>
    <row r="8" spans="2:13" ht="27" customHeight="1" x14ac:dyDescent="0.3">
      <c r="B8" s="67" t="s">
        <v>63</v>
      </c>
      <c r="C8" s="71">
        <v>198.47800000000001</v>
      </c>
      <c r="D8" s="76">
        <f>C8/$C$7</f>
        <v>0.57645312785898706</v>
      </c>
      <c r="E8" s="71">
        <v>175.78399999999999</v>
      </c>
      <c r="F8" s="76">
        <f>E8/$C$7</f>
        <v>0.51054140321629693</v>
      </c>
      <c r="H8" s="67" t="s">
        <v>142</v>
      </c>
      <c r="I8" s="71">
        <v>10.058</v>
      </c>
      <c r="J8" s="71">
        <v>4.4130000000000003</v>
      </c>
      <c r="L8" s="67" t="s">
        <v>161</v>
      </c>
      <c r="M8" s="68">
        <v>0.04</v>
      </c>
    </row>
    <row r="9" spans="2:13" ht="27" customHeight="1" x14ac:dyDescent="0.3">
      <c r="B9" s="67" t="s">
        <v>133</v>
      </c>
      <c r="C9" s="71">
        <v>145.83000000000001</v>
      </c>
      <c r="D9" s="76">
        <f t="shared" ref="D9:F14" si="0">C9/$C$7</f>
        <v>0.42354396777313402</v>
      </c>
      <c r="E9" s="71">
        <v>133.976</v>
      </c>
      <c r="F9" s="76">
        <f t="shared" si="0"/>
        <v>0.38911559093721043</v>
      </c>
      <c r="H9" s="67" t="s">
        <v>5</v>
      </c>
      <c r="I9" s="71">
        <v>66.736000000000004</v>
      </c>
      <c r="J9" s="71">
        <v>106.40300000000001</v>
      </c>
      <c r="L9" s="67" t="s">
        <v>162</v>
      </c>
      <c r="M9" s="68">
        <v>0.02</v>
      </c>
    </row>
    <row r="10" spans="2:13" ht="27" customHeight="1" x14ac:dyDescent="0.3">
      <c r="B10" s="67" t="s">
        <v>134</v>
      </c>
      <c r="C10" s="71">
        <v>13.529</v>
      </c>
      <c r="D10" s="76">
        <f t="shared" si="0"/>
        <v>3.9293193033002327E-2</v>
      </c>
      <c r="E10" s="71">
        <v>13.553000000000001</v>
      </c>
      <c r="F10" s="76">
        <f t="shared" si="0"/>
        <v>3.9362897862094806E-2</v>
      </c>
      <c r="H10" s="67" t="s">
        <v>143</v>
      </c>
      <c r="I10" s="71">
        <v>46.600999999999999</v>
      </c>
      <c r="J10" s="71">
        <v>37.56</v>
      </c>
      <c r="L10" s="67" t="s">
        <v>163</v>
      </c>
      <c r="M10" s="68">
        <v>0.71</v>
      </c>
    </row>
    <row r="11" spans="2:13" ht="27" customHeight="1" x14ac:dyDescent="0.3">
      <c r="B11" s="67" t="s">
        <v>135</v>
      </c>
      <c r="C11" s="71">
        <v>5.3109999999999999</v>
      </c>
      <c r="D11" s="76">
        <f t="shared" si="0"/>
        <v>1.5425097804588318E-2</v>
      </c>
      <c r="E11" s="71">
        <v>5.81</v>
      </c>
      <c r="F11" s="76">
        <f t="shared" si="0"/>
        <v>1.6874377376135969E-2</v>
      </c>
      <c r="H11" s="67" t="s">
        <v>144</v>
      </c>
      <c r="I11" s="71">
        <v>123.396</v>
      </c>
      <c r="J11" s="71">
        <v>148.376</v>
      </c>
      <c r="L11" s="67" t="s">
        <v>164</v>
      </c>
      <c r="M11" s="68">
        <v>2.4300000000000002</v>
      </c>
    </row>
    <row r="12" spans="2:13" ht="40.200000000000003" customHeight="1" x14ac:dyDescent="0.3">
      <c r="B12" s="67" t="s">
        <v>136</v>
      </c>
      <c r="C12" s="71">
        <v>8.2509999999999994</v>
      </c>
      <c r="D12" s="76">
        <f t="shared" si="0"/>
        <v>2.3963939368416159E-2</v>
      </c>
      <c r="E12" s="71">
        <v>7.77</v>
      </c>
      <c r="F12" s="76">
        <f t="shared" si="0"/>
        <v>2.256693841868786E-2</v>
      </c>
      <c r="H12" s="67" t="s">
        <v>145</v>
      </c>
      <c r="I12" s="71">
        <v>46.265000000000001</v>
      </c>
      <c r="J12" s="71">
        <v>49.499000000000002</v>
      </c>
    </row>
    <row r="13" spans="2:13" ht="27" customHeight="1" x14ac:dyDescent="0.3">
      <c r="B13" s="67" t="s">
        <v>137</v>
      </c>
      <c r="C13" s="71">
        <v>3.06</v>
      </c>
      <c r="D13" s="76">
        <f t="shared" si="0"/>
        <v>8.8873657092902007E-3</v>
      </c>
      <c r="E13" s="71">
        <v>3.4159999999999999</v>
      </c>
      <c r="F13" s="76">
        <f t="shared" si="0"/>
        <v>9.9213206741618713E-3</v>
      </c>
      <c r="H13" s="67" t="s">
        <v>146</v>
      </c>
      <c r="I13" s="71">
        <v>68.153999999999996</v>
      </c>
      <c r="J13" s="71">
        <v>70.081000000000003</v>
      </c>
      <c r="L13" s="78" t="s">
        <v>165</v>
      </c>
      <c r="M13" s="78"/>
    </row>
    <row r="14" spans="2:13" ht="26.4" customHeight="1" x14ac:dyDescent="0.3">
      <c r="B14" s="67" t="s">
        <v>138</v>
      </c>
      <c r="C14" s="71">
        <v>5.1920000000000002</v>
      </c>
      <c r="D14" s="76">
        <f t="shared" si="0"/>
        <v>1.5079478027004812E-2</v>
      </c>
      <c r="E14" s="71">
        <v>4.3540000000000001</v>
      </c>
      <c r="F14" s="76">
        <f t="shared" si="0"/>
        <v>1.2645617744525993E-2</v>
      </c>
      <c r="H14" s="67" t="s">
        <v>147</v>
      </c>
      <c r="I14" s="71">
        <v>191.55</v>
      </c>
      <c r="J14" s="71">
        <v>218.458</v>
      </c>
    </row>
    <row r="15" spans="2:13" x14ac:dyDescent="0.3">
      <c r="B15" s="69"/>
      <c r="C15" s="69"/>
      <c r="D15" s="69"/>
      <c r="E15" s="69"/>
      <c r="F15" s="75"/>
      <c r="H15" s="66" t="s">
        <v>148</v>
      </c>
      <c r="I15" s="66"/>
      <c r="J15" s="66"/>
    </row>
    <row r="16" spans="2:13" ht="52.8" customHeight="1" x14ac:dyDescent="0.3">
      <c r="B16" s="79" t="s">
        <v>139</v>
      </c>
      <c r="C16" s="79"/>
      <c r="D16" s="79"/>
      <c r="E16" s="79"/>
      <c r="H16" s="67" t="s">
        <v>149</v>
      </c>
      <c r="I16" s="71">
        <v>63.219000000000001</v>
      </c>
      <c r="J16" s="71">
        <v>67.94</v>
      </c>
    </row>
    <row r="17" spans="8:10" ht="40.200000000000003" customHeight="1" x14ac:dyDescent="0.3">
      <c r="H17" s="67" t="s">
        <v>150</v>
      </c>
      <c r="I17" s="71">
        <v>50.814999999999998</v>
      </c>
      <c r="J17" s="71">
        <v>79.361999999999995</v>
      </c>
    </row>
    <row r="18" spans="8:10" ht="27" customHeight="1" x14ac:dyDescent="0.3">
      <c r="H18" s="67" t="s">
        <v>151</v>
      </c>
      <c r="I18" s="71">
        <v>127.301</v>
      </c>
      <c r="J18" s="71">
        <v>157.095</v>
      </c>
    </row>
    <row r="19" spans="8:10" ht="40.200000000000003" customHeight="1" x14ac:dyDescent="0.3">
      <c r="H19" s="67" t="s">
        <v>152</v>
      </c>
      <c r="I19" s="71">
        <v>2.7749999999999999</v>
      </c>
      <c r="J19" s="71">
        <v>0</v>
      </c>
    </row>
    <row r="20" spans="8:10" ht="27" customHeight="1" x14ac:dyDescent="0.3">
      <c r="H20" s="67" t="s">
        <v>153</v>
      </c>
      <c r="I20" s="71">
        <v>8.343</v>
      </c>
      <c r="J20" s="71">
        <v>10.648999999999999</v>
      </c>
    </row>
    <row r="21" spans="8:10" x14ac:dyDescent="0.3">
      <c r="H21" s="67" t="s">
        <v>154</v>
      </c>
      <c r="I21" s="71">
        <v>135.64400000000001</v>
      </c>
      <c r="J21" s="71">
        <v>167.74299999999999</v>
      </c>
    </row>
    <row r="22" spans="8:10" x14ac:dyDescent="0.3">
      <c r="H22" s="66" t="s">
        <v>155</v>
      </c>
      <c r="I22" s="66"/>
      <c r="J22" s="66"/>
    </row>
    <row r="23" spans="8:10" ht="27" customHeight="1" x14ac:dyDescent="0.3">
      <c r="H23" s="67" t="s">
        <v>156</v>
      </c>
      <c r="I23" s="71">
        <v>624</v>
      </c>
      <c r="J23" s="71">
        <v>624</v>
      </c>
    </row>
    <row r="24" spans="8:10" ht="26.4" customHeight="1" x14ac:dyDescent="0.3">
      <c r="H24" s="67" t="s">
        <v>157</v>
      </c>
      <c r="I24" s="71">
        <v>55.905999999999999</v>
      </c>
      <c r="J24" s="71">
        <v>50.713999999999999</v>
      </c>
    </row>
    <row r="25" spans="8:10" x14ac:dyDescent="0.3">
      <c r="H25" s="69"/>
      <c r="I25" s="69"/>
      <c r="J25" s="69"/>
    </row>
    <row r="26" spans="8:10" ht="66" customHeight="1" x14ac:dyDescent="0.3">
      <c r="H26" s="79" t="s">
        <v>158</v>
      </c>
      <c r="I26" s="79"/>
      <c r="J26" s="79"/>
    </row>
  </sheetData>
  <mergeCells count="11">
    <mergeCell ref="L6:M6"/>
    <mergeCell ref="J4:J5"/>
    <mergeCell ref="L13:M13"/>
    <mergeCell ref="B16:E16"/>
    <mergeCell ref="H26:J26"/>
    <mergeCell ref="B6:E6"/>
    <mergeCell ref="I4:I5"/>
    <mergeCell ref="H6:J6"/>
    <mergeCell ref="H7:J7"/>
    <mergeCell ref="H15:J15"/>
    <mergeCell ref="H22:J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Balance General  Ejemplo</vt:lpstr>
      <vt:lpstr>Estado de Resultados</vt:lpstr>
      <vt:lpstr>Indicadores</vt:lpstr>
      <vt:lpstr>Promedio Muebles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DVillicaña</dc:creator>
  <cp:lastModifiedBy>Enrique A Sánchez Camargo</cp:lastModifiedBy>
  <dcterms:created xsi:type="dcterms:W3CDTF">2015-03-30T17:09:46Z</dcterms:created>
  <dcterms:modified xsi:type="dcterms:W3CDTF">2020-11-12T22:51:39Z</dcterms:modified>
</cp:coreProperties>
</file>